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_IP_\_PPSR 24-25\PRAVIDLA\"/>
    </mc:Choice>
  </mc:AlternateContent>
  <xr:revisionPtr revIDLastSave="0" documentId="13_ncr:1_{402CC82D-6FDA-426C-94E7-77A8951386B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práva PPSŘ 24-25" sheetId="2" r:id="rId1"/>
    <sheet name="Dílčí zpráva projekt 7-Mobility" sheetId="7" r:id="rId2"/>
    <sheet name="DATA ZDROJ Indikatory" sheetId="5" state="hidden" r:id="rId3"/>
    <sheet name="DATA ZDROJ" sheetId="4" state="hidden" r:id="rId4"/>
    <sheet name="DATA ZDROJ čerpání 2024" sheetId="9" state="hidden" r:id="rId5"/>
    <sheet name="DATA ZDROJ MOB" sheetId="8" state="hidden" r:id="rId6"/>
  </sheets>
  <definedNames>
    <definedName name="_xlnm._FilterDatabase" localSheetId="1" hidden="1">'Dílčí zpráva projekt 7-Mobility'!$B$1:$T$30</definedName>
    <definedName name="_xlnm._FilterDatabase" localSheetId="0" hidden="1">'Zpráva PPSŘ 24-25'!$B$1:$T$44</definedName>
    <definedName name="IP" localSheetId="5">#REF!</definedName>
    <definedName name="IP" localSheetId="1">#REF!</definedName>
    <definedName name="IP">#REF!</definedName>
    <definedName name="_xlnm.Print_Area" localSheetId="3">'DATA ZDROJ'!$A$1:$AQ$40</definedName>
    <definedName name="_xlnm.Print_Area" localSheetId="4">'DATA ZDROJ čerpání 2024'!$A$1:$R$41</definedName>
    <definedName name="_xlnm.Print_Area" localSheetId="1">'Dílčí zpráva projekt 7-Mobility'!$A$1:$U$133</definedName>
    <definedName name="_xlnm.Print_Area" localSheetId="0">'Zpráva PPSŘ 24-25'!$A$1:$U$148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2" l="1"/>
  <c r="I133" i="2"/>
  <c r="E124" i="2"/>
  <c r="E123" i="2"/>
  <c r="I106" i="7"/>
  <c r="I120" i="2"/>
  <c r="J25" i="7"/>
  <c r="J24" i="7"/>
  <c r="J23" i="7"/>
  <c r="J22" i="7"/>
  <c r="J21" i="7"/>
  <c r="J20" i="7"/>
  <c r="K40" i="7"/>
  <c r="K39" i="7"/>
  <c r="C70" i="7"/>
  <c r="C69" i="7"/>
  <c r="AN12" i="8"/>
  <c r="AO12" i="8"/>
  <c r="AP12" i="8"/>
  <c r="AQ12" i="8"/>
  <c r="AR12" i="8"/>
  <c r="AM12" i="8"/>
  <c r="AJ3" i="8"/>
  <c r="AK3" i="8"/>
  <c r="AL3" i="8"/>
  <c r="AI3" i="8"/>
  <c r="S6" i="7" l="1"/>
  <c r="J6" i="7"/>
  <c r="C9" i="2"/>
  <c r="B145" i="2"/>
  <c r="C53" i="2"/>
  <c r="I61" i="2"/>
  <c r="I64" i="2"/>
  <c r="I63" i="2"/>
  <c r="I84" i="2"/>
  <c r="I83" i="2"/>
  <c r="I81" i="2"/>
  <c r="C84" i="2"/>
  <c r="C83" i="2"/>
  <c r="C81" i="2"/>
  <c r="C64" i="2"/>
  <c r="C63" i="2"/>
  <c r="C61" i="2"/>
  <c r="M25" i="9"/>
  <c r="J25" i="9"/>
  <c r="K25" i="9"/>
  <c r="Q25" i="9"/>
  <c r="P25" i="9"/>
  <c r="L25" i="9"/>
  <c r="R24" i="9"/>
  <c r="R23" i="9"/>
  <c r="R22" i="9"/>
  <c r="R20" i="9"/>
  <c r="R7" i="9"/>
  <c r="R25" i="9" l="1"/>
  <c r="S7" i="2"/>
  <c r="J7" i="2"/>
  <c r="K54" i="2"/>
  <c r="K53" i="2"/>
  <c r="K51" i="2"/>
  <c r="C51" i="2"/>
  <c r="AQ4" i="4"/>
  <c r="AQ5" i="4"/>
  <c r="AQ6" i="4"/>
  <c r="AQ7" i="4"/>
  <c r="AQ8" i="4"/>
  <c r="AQ15" i="4"/>
  <c r="AQ16" i="4"/>
  <c r="AQ17" i="4"/>
  <c r="AQ18" i="4"/>
  <c r="AQ19" i="4"/>
  <c r="AQ20" i="4"/>
  <c r="AO4" i="4"/>
  <c r="AO5" i="4"/>
  <c r="AO6" i="4"/>
  <c r="AO7" i="4"/>
  <c r="AO8" i="4"/>
  <c r="AO9" i="4"/>
  <c r="AQ9" i="4" s="1"/>
  <c r="AO10" i="4"/>
  <c r="AQ10" i="4" s="1"/>
  <c r="AO11" i="4"/>
  <c r="AQ11" i="4" s="1"/>
  <c r="AO12" i="4"/>
  <c r="AQ12" i="4" s="1"/>
  <c r="AO13" i="4"/>
  <c r="AQ13" i="4" s="1"/>
  <c r="AO14" i="4"/>
  <c r="AQ14" i="4" s="1"/>
  <c r="AO15" i="4"/>
  <c r="AO16" i="4"/>
  <c r="AO17" i="4"/>
  <c r="AO18" i="4"/>
  <c r="AO19" i="4"/>
  <c r="AO20" i="4"/>
  <c r="AO21" i="4"/>
  <c r="AQ21" i="4" s="1"/>
  <c r="AO22" i="4"/>
  <c r="AQ22" i="4" s="1"/>
  <c r="AO23" i="4"/>
  <c r="AQ23" i="4" s="1"/>
  <c r="AQ3" i="4"/>
  <c r="AO3" i="4"/>
  <c r="H48" i="5"/>
  <c r="O132" i="2"/>
  <c r="O134" i="2"/>
  <c r="O135" i="2"/>
  <c r="I80" i="2"/>
  <c r="C37" i="2"/>
  <c r="K37" i="2" s="1"/>
  <c r="C36" i="2"/>
  <c r="K36" i="2" s="1"/>
  <c r="C35" i="2"/>
  <c r="K35" i="2" s="1"/>
  <c r="C34" i="2"/>
  <c r="K34" i="2" s="1"/>
  <c r="C33" i="2"/>
  <c r="K33" i="2" s="1"/>
  <c r="C32" i="2"/>
  <c r="K32" i="2" s="1"/>
  <c r="C30" i="2"/>
  <c r="K30" i="2" s="1"/>
  <c r="C31" i="2"/>
  <c r="K31" i="2" s="1"/>
  <c r="C116" i="2"/>
  <c r="C82" i="2"/>
  <c r="I53" i="2"/>
  <c r="I73" i="2" s="1"/>
  <c r="I93" i="2" s="1"/>
  <c r="I54" i="2"/>
  <c r="I74" i="2" s="1"/>
  <c r="I94" i="2" s="1"/>
  <c r="E54" i="2"/>
  <c r="E53" i="2"/>
  <c r="C54" i="2"/>
  <c r="I51" i="2"/>
  <c r="I71" i="2" s="1"/>
  <c r="I91" i="2" s="1"/>
  <c r="E51" i="2"/>
  <c r="G13" i="2"/>
  <c r="G12" i="2"/>
  <c r="G11" i="2"/>
  <c r="C102" i="7"/>
  <c r="C101" i="7"/>
  <c r="I80" i="7"/>
  <c r="I60" i="7"/>
  <c r="I59" i="7"/>
  <c r="I79" i="7" s="1"/>
  <c r="E39" i="7"/>
  <c r="M21" i="7"/>
  <c r="M22" i="7"/>
  <c r="M23" i="7"/>
  <c r="M24" i="7"/>
  <c r="M25" i="7"/>
  <c r="M20" i="7"/>
  <c r="I25" i="7"/>
  <c r="I24" i="7"/>
  <c r="I23" i="7"/>
  <c r="I22" i="7"/>
  <c r="I21" i="7"/>
  <c r="I20" i="7"/>
  <c r="H25" i="7"/>
  <c r="H24" i="7"/>
  <c r="H23" i="7"/>
  <c r="H22" i="7"/>
  <c r="H21" i="7"/>
  <c r="H20" i="7"/>
  <c r="D25" i="7"/>
  <c r="D24" i="7"/>
  <c r="D23" i="7"/>
  <c r="D22" i="7"/>
  <c r="D21" i="7"/>
  <c r="D20" i="7"/>
  <c r="Z12" i="8"/>
  <c r="AA12" i="8"/>
  <c r="AB12" i="8"/>
  <c r="AC12" i="8"/>
  <c r="AD12" i="8"/>
  <c r="AE12" i="8"/>
  <c r="AF12" i="8"/>
  <c r="AG12" i="8"/>
  <c r="AH12" i="8"/>
  <c r="W12" i="8"/>
  <c r="X12" i="8"/>
  <c r="Y12" i="8"/>
  <c r="P24" i="4"/>
  <c r="Q24" i="4"/>
  <c r="S24" i="4"/>
  <c r="U24" i="4"/>
  <c r="V24" i="4"/>
  <c r="X24" i="4"/>
  <c r="L24" i="4"/>
  <c r="N24" i="4"/>
  <c r="K24" i="4"/>
  <c r="M5" i="4"/>
  <c r="O5" i="4" s="1"/>
  <c r="M6" i="4"/>
  <c r="O6" i="4" s="1"/>
  <c r="M7" i="4"/>
  <c r="O7" i="4" s="1"/>
  <c r="M8" i="4"/>
  <c r="O8" i="4" s="1"/>
  <c r="M9" i="4"/>
  <c r="O9" i="4" s="1"/>
  <c r="M10" i="4"/>
  <c r="O10" i="4" s="1"/>
  <c r="M11" i="4"/>
  <c r="O11" i="4" s="1"/>
  <c r="M12" i="4"/>
  <c r="O12" i="4" s="1"/>
  <c r="M13" i="4"/>
  <c r="O13" i="4" s="1"/>
  <c r="M14" i="4"/>
  <c r="O14" i="4" s="1"/>
  <c r="M15" i="4"/>
  <c r="O15" i="4" s="1"/>
  <c r="M16" i="4"/>
  <c r="O16" i="4" s="1"/>
  <c r="M17" i="4"/>
  <c r="O17" i="4" s="1"/>
  <c r="M18" i="4"/>
  <c r="O18" i="4" s="1"/>
  <c r="M19" i="4"/>
  <c r="O19" i="4" s="1"/>
  <c r="M20" i="4"/>
  <c r="O20" i="4" s="1"/>
  <c r="M21" i="4"/>
  <c r="O21" i="4" s="1"/>
  <c r="M22" i="4"/>
  <c r="O22" i="4" s="1"/>
  <c r="M23" i="4"/>
  <c r="O23" i="4" s="1"/>
  <c r="M3" i="4"/>
  <c r="O3" i="4" s="1"/>
  <c r="M4" i="4"/>
  <c r="O4" i="4" s="1"/>
  <c r="W6" i="4"/>
  <c r="Y6" i="4" s="1"/>
  <c r="R6" i="4"/>
  <c r="T6" i="4" s="1"/>
  <c r="W23" i="4"/>
  <c r="Y23" i="4" s="1"/>
  <c r="R23" i="4"/>
  <c r="T23" i="4" s="1"/>
  <c r="W22" i="4"/>
  <c r="Y22" i="4" s="1"/>
  <c r="R22" i="4"/>
  <c r="T22" i="4" s="1"/>
  <c r="W21" i="4"/>
  <c r="Y21" i="4" s="1"/>
  <c r="R21" i="4"/>
  <c r="T21" i="4" s="1"/>
  <c r="W20" i="4"/>
  <c r="Y20" i="4" s="1"/>
  <c r="R20" i="4"/>
  <c r="T20" i="4" s="1"/>
  <c r="W19" i="4"/>
  <c r="Y19" i="4" s="1"/>
  <c r="R19" i="4"/>
  <c r="T19" i="4" s="1"/>
  <c r="W18" i="4"/>
  <c r="Y18" i="4" s="1"/>
  <c r="R18" i="4"/>
  <c r="T18" i="4" s="1"/>
  <c r="W17" i="4"/>
  <c r="Y17" i="4" s="1"/>
  <c r="R17" i="4"/>
  <c r="T17" i="4" s="1"/>
  <c r="W16" i="4"/>
  <c r="Y16" i="4" s="1"/>
  <c r="R16" i="4"/>
  <c r="T16" i="4" s="1"/>
  <c r="W15" i="4"/>
  <c r="Y15" i="4" s="1"/>
  <c r="R15" i="4"/>
  <c r="T15" i="4" s="1"/>
  <c r="W14" i="4"/>
  <c r="Y14" i="4" s="1"/>
  <c r="R14" i="4"/>
  <c r="T14" i="4" s="1"/>
  <c r="W13" i="4"/>
  <c r="Y13" i="4" s="1"/>
  <c r="R13" i="4"/>
  <c r="T13" i="4" s="1"/>
  <c r="W12" i="4"/>
  <c r="Y12" i="4" s="1"/>
  <c r="R12" i="4"/>
  <c r="T12" i="4" s="1"/>
  <c r="W11" i="4"/>
  <c r="Y11" i="4" s="1"/>
  <c r="R11" i="4"/>
  <c r="T11" i="4" s="1"/>
  <c r="W10" i="4"/>
  <c r="Y10" i="4" s="1"/>
  <c r="R10" i="4"/>
  <c r="T10" i="4" s="1"/>
  <c r="W9" i="4"/>
  <c r="Y9" i="4" s="1"/>
  <c r="R9" i="4"/>
  <c r="T9" i="4" s="1"/>
  <c r="W8" i="4"/>
  <c r="Y8" i="4" s="1"/>
  <c r="R8" i="4"/>
  <c r="T8" i="4" s="1"/>
  <c r="W7" i="4"/>
  <c r="Y7" i="4" s="1"/>
  <c r="R7" i="4"/>
  <c r="T7" i="4" s="1"/>
  <c r="W5" i="4"/>
  <c r="Y5" i="4" s="1"/>
  <c r="R5" i="4"/>
  <c r="T5" i="4" s="1"/>
  <c r="W4" i="4"/>
  <c r="Y4" i="4" s="1"/>
  <c r="R4" i="4"/>
  <c r="T4" i="4" s="1"/>
  <c r="W3" i="4"/>
  <c r="Y3" i="4" s="1"/>
  <c r="R3" i="4"/>
  <c r="T3" i="4" s="1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H5" i="5"/>
  <c r="G5" i="5"/>
  <c r="I92" i="2" l="1"/>
  <c r="I31" i="2"/>
  <c r="J34" i="2"/>
  <c r="J30" i="2"/>
  <c r="J35" i="2"/>
  <c r="I32" i="2"/>
  <c r="M36" i="2"/>
  <c r="I33" i="2"/>
  <c r="M37" i="2"/>
  <c r="Y24" i="4"/>
  <c r="T24" i="4"/>
  <c r="R24" i="4"/>
  <c r="W24" i="4"/>
  <c r="I78" i="7"/>
  <c r="J37" i="2"/>
  <c r="I72" i="2"/>
  <c r="J36" i="2"/>
  <c r="D36" i="2"/>
  <c r="I36" i="2"/>
  <c r="D33" i="2"/>
  <c r="J31" i="2"/>
  <c r="J32" i="2"/>
  <c r="J33" i="2"/>
  <c r="M33" i="2"/>
  <c r="D34" i="2"/>
  <c r="M34" i="2"/>
  <c r="I34" i="2"/>
  <c r="D35" i="2"/>
  <c r="M30" i="2"/>
  <c r="M35" i="2"/>
  <c r="I37" i="2"/>
  <c r="M31" i="2"/>
  <c r="I35" i="2"/>
  <c r="D37" i="2"/>
  <c r="M32" i="2"/>
  <c r="D32" i="2"/>
  <c r="D31" i="2"/>
  <c r="D30" i="2"/>
  <c r="I30" i="2"/>
  <c r="O24" i="4"/>
  <c r="M24" i="4"/>
  <c r="C8" i="7"/>
  <c r="I100" i="7" s="1"/>
  <c r="E71" i="7"/>
  <c r="I71" i="7"/>
  <c r="K71" i="7"/>
  <c r="I61" i="7"/>
  <c r="E51" i="7"/>
  <c r="I51" i="7"/>
  <c r="K51" i="7"/>
  <c r="C51" i="7"/>
  <c r="I41" i="7"/>
  <c r="E40" i="7"/>
  <c r="C40" i="7"/>
  <c r="C39" i="7"/>
  <c r="C59" i="7" s="1"/>
  <c r="G11" i="7"/>
  <c r="G10" i="7"/>
  <c r="C41" i="7" l="1"/>
  <c r="K41" i="7"/>
  <c r="E41" i="7"/>
  <c r="C71" i="7"/>
  <c r="K60" i="2" l="1"/>
  <c r="G15" i="2"/>
  <c r="G14" i="2"/>
  <c r="G10" i="2"/>
  <c r="C110" i="2" s="1"/>
  <c r="I77" i="7" l="1"/>
  <c r="I76" i="7" s="1"/>
  <c r="K60" i="7"/>
  <c r="K80" i="7" s="1"/>
  <c r="K59" i="7"/>
  <c r="K79" i="7" s="1"/>
  <c r="I58" i="7"/>
  <c r="K57" i="7"/>
  <c r="K56" i="7" s="1"/>
  <c r="I56" i="7"/>
  <c r="I90" i="2"/>
  <c r="K74" i="2"/>
  <c r="K94" i="2" s="1"/>
  <c r="K73" i="2"/>
  <c r="K93" i="2" s="1"/>
  <c r="K71" i="2"/>
  <c r="K91" i="2" s="1"/>
  <c r="I75" i="2"/>
  <c r="I70" i="2"/>
  <c r="I81" i="7" l="1"/>
  <c r="M59" i="7"/>
  <c r="K61" i="7"/>
  <c r="K77" i="7"/>
  <c r="K76" i="7" s="1"/>
  <c r="M60" i="7"/>
  <c r="K58" i="7"/>
  <c r="M80" i="7"/>
  <c r="M57" i="7"/>
  <c r="M56" i="7" s="1"/>
  <c r="M73" i="2"/>
  <c r="K72" i="2"/>
  <c r="K75" i="2" s="1"/>
  <c r="I95" i="2"/>
  <c r="M94" i="2"/>
  <c r="K92" i="2"/>
  <c r="K95" i="2" s="1"/>
  <c r="M93" i="2"/>
  <c r="M91" i="2"/>
  <c r="M90" i="2" s="1"/>
  <c r="K90" i="2"/>
  <c r="K70" i="2"/>
  <c r="M74" i="2"/>
  <c r="M71" i="2"/>
  <c r="M70" i="2" s="1"/>
  <c r="B130" i="7"/>
  <c r="E37" i="7"/>
  <c r="E57" i="7" s="1"/>
  <c r="E77" i="7" s="1"/>
  <c r="E76" i="7" s="1"/>
  <c r="C37" i="7"/>
  <c r="C57" i="7" s="1"/>
  <c r="C77" i="7" s="1"/>
  <c r="E59" i="7"/>
  <c r="C117" i="7"/>
  <c r="C120" i="7" s="1"/>
  <c r="M70" i="7"/>
  <c r="G70" i="7"/>
  <c r="M69" i="7"/>
  <c r="G69" i="7"/>
  <c r="K68" i="7"/>
  <c r="I68" i="7"/>
  <c r="E68" i="7"/>
  <c r="C68" i="7"/>
  <c r="M67" i="7"/>
  <c r="M66" i="7" s="1"/>
  <c r="G67" i="7"/>
  <c r="K66" i="7"/>
  <c r="I66" i="7"/>
  <c r="E66" i="7"/>
  <c r="C66" i="7"/>
  <c r="M50" i="7"/>
  <c r="G50" i="7"/>
  <c r="M49" i="7"/>
  <c r="G49" i="7"/>
  <c r="K48" i="7"/>
  <c r="I48" i="7"/>
  <c r="E48" i="7"/>
  <c r="C48" i="7"/>
  <c r="M47" i="7"/>
  <c r="M46" i="7" s="1"/>
  <c r="G47" i="7"/>
  <c r="G46" i="7" s="1"/>
  <c r="K46" i="7"/>
  <c r="I46" i="7"/>
  <c r="E46" i="7"/>
  <c r="C46" i="7"/>
  <c r="M40" i="7"/>
  <c r="M39" i="7"/>
  <c r="K38" i="7"/>
  <c r="I38" i="7"/>
  <c r="M37" i="7"/>
  <c r="M36" i="7" s="1"/>
  <c r="K36" i="7"/>
  <c r="I36" i="7"/>
  <c r="C96" i="7"/>
  <c r="C106" i="7"/>
  <c r="C109" i="7" s="1"/>
  <c r="G113" i="7" l="1"/>
  <c r="L94" i="7"/>
  <c r="M72" i="2"/>
  <c r="M75" i="2" s="1"/>
  <c r="M61" i="7"/>
  <c r="M71" i="7"/>
  <c r="G71" i="7"/>
  <c r="M41" i="7"/>
  <c r="M79" i="7"/>
  <c r="M81" i="7" s="1"/>
  <c r="K81" i="7"/>
  <c r="G51" i="7"/>
  <c r="C79" i="7"/>
  <c r="M58" i="7"/>
  <c r="M51" i="7"/>
  <c r="E79" i="7"/>
  <c r="M68" i="7"/>
  <c r="M48" i="7"/>
  <c r="G68" i="7"/>
  <c r="M77" i="7"/>
  <c r="M76" i="7" s="1"/>
  <c r="K78" i="7"/>
  <c r="G77" i="7"/>
  <c r="C76" i="7"/>
  <c r="E56" i="7"/>
  <c r="E60" i="7"/>
  <c r="E58" i="7" s="1"/>
  <c r="C60" i="7"/>
  <c r="C61" i="7" s="1"/>
  <c r="M92" i="2"/>
  <c r="M95" i="2" s="1"/>
  <c r="G37" i="7"/>
  <c r="M38" i="7"/>
  <c r="G39" i="7"/>
  <c r="G40" i="7"/>
  <c r="C36" i="7"/>
  <c r="C38" i="7"/>
  <c r="G48" i="7"/>
  <c r="G66" i="7"/>
  <c r="C103" i="7"/>
  <c r="Q106" i="7"/>
  <c r="P113" i="7"/>
  <c r="E36" i="7"/>
  <c r="E38" i="7"/>
  <c r="K106" i="7"/>
  <c r="E116" i="7"/>
  <c r="M116" i="7" s="1"/>
  <c r="E106" i="7"/>
  <c r="G106" i="7"/>
  <c r="O106" i="7"/>
  <c r="I82" i="2"/>
  <c r="I85" i="2" s="1"/>
  <c r="I62" i="2"/>
  <c r="I65" i="2" s="1"/>
  <c r="I60" i="2"/>
  <c r="K109" i="7" l="1"/>
  <c r="K108" i="7"/>
  <c r="M78" i="7"/>
  <c r="G41" i="7"/>
  <c r="E61" i="7"/>
  <c r="G79" i="7"/>
  <c r="C80" i="7"/>
  <c r="C78" i="7" s="1"/>
  <c r="E80" i="7"/>
  <c r="E78" i="7" s="1"/>
  <c r="G76" i="7"/>
  <c r="G60" i="7"/>
  <c r="C58" i="7"/>
  <c r="G59" i="7"/>
  <c r="C56" i="7"/>
  <c r="G57" i="7"/>
  <c r="G38" i="7"/>
  <c r="G36" i="7"/>
  <c r="S106" i="7"/>
  <c r="E109" i="7"/>
  <c r="E108" i="7"/>
  <c r="C108" i="7"/>
  <c r="G61" i="7" l="1"/>
  <c r="C81" i="7"/>
  <c r="E81" i="7"/>
  <c r="G80" i="7"/>
  <c r="G81" i="7" s="1"/>
  <c r="G56" i="7"/>
  <c r="G58" i="7"/>
  <c r="K107" i="7"/>
  <c r="K110" i="7" s="1"/>
  <c r="I108" i="7"/>
  <c r="O108" i="7" s="1"/>
  <c r="I109" i="7"/>
  <c r="M109" i="7" s="1"/>
  <c r="O119" i="7" s="1"/>
  <c r="Q108" i="7"/>
  <c r="E107" i="7"/>
  <c r="E110" i="7" s="1"/>
  <c r="G109" i="7"/>
  <c r="C107" i="7"/>
  <c r="C110" i="7" s="1"/>
  <c r="G108" i="7"/>
  <c r="Q109" i="7"/>
  <c r="M84" i="2"/>
  <c r="M83" i="2"/>
  <c r="M81" i="2"/>
  <c r="M80" i="2" s="1"/>
  <c r="G84" i="2"/>
  <c r="G83" i="2"/>
  <c r="G81" i="2"/>
  <c r="C74" i="2"/>
  <c r="C94" i="2" s="1"/>
  <c r="C73" i="2"/>
  <c r="C93" i="2" s="1"/>
  <c r="C71" i="2"/>
  <c r="C91" i="2" s="1"/>
  <c r="M64" i="2"/>
  <c r="M63" i="2"/>
  <c r="M61" i="2"/>
  <c r="M60" i="2" s="1"/>
  <c r="G64" i="2"/>
  <c r="G63" i="2"/>
  <c r="G61" i="2"/>
  <c r="G60" i="2" s="1"/>
  <c r="M62" i="2" l="1"/>
  <c r="M65" i="2" s="1"/>
  <c r="G78" i="7"/>
  <c r="C90" i="2"/>
  <c r="C92" i="2"/>
  <c r="C95" i="2" s="1"/>
  <c r="C70" i="2"/>
  <c r="C72" i="2"/>
  <c r="C75" i="2" s="1"/>
  <c r="Q107" i="7"/>
  <c r="Q110" i="7" s="1"/>
  <c r="S108" i="7"/>
  <c r="G110" i="7"/>
  <c r="G107" i="7"/>
  <c r="O109" i="7"/>
  <c r="S109" i="7" s="1"/>
  <c r="I107" i="7"/>
  <c r="I110" i="7" s="1"/>
  <c r="M108" i="7"/>
  <c r="G80" i="2"/>
  <c r="G62" i="2"/>
  <c r="G65" i="2" s="1"/>
  <c r="G82" i="2"/>
  <c r="G85" i="2" s="1"/>
  <c r="M82" i="2"/>
  <c r="M85" i="2" s="1"/>
  <c r="M107" i="7" l="1"/>
  <c r="M110" i="7" s="1"/>
  <c r="I117" i="7"/>
  <c r="I120" i="7" s="1"/>
  <c r="O118" i="7"/>
  <c r="O117" i="7" s="1"/>
  <c r="O120" i="7" s="1"/>
  <c r="O107" i="7"/>
  <c r="O110" i="7" s="1"/>
  <c r="M54" i="2"/>
  <c r="M53" i="2"/>
  <c r="K52" i="2"/>
  <c r="K55" i="2" s="1"/>
  <c r="I52" i="2"/>
  <c r="I55" i="2" s="1"/>
  <c r="M51" i="2"/>
  <c r="M50" i="2" s="1"/>
  <c r="K50" i="2"/>
  <c r="I50" i="2"/>
  <c r="K62" i="2"/>
  <c r="K65" i="2" s="1"/>
  <c r="E62" i="2"/>
  <c r="E65" i="2" s="1"/>
  <c r="C62" i="2"/>
  <c r="E60" i="2"/>
  <c r="C60" i="2"/>
  <c r="S107" i="7" l="1"/>
  <c r="S110" i="7"/>
  <c r="M52" i="2"/>
  <c r="M55" i="2" s="1"/>
  <c r="C65" i="2"/>
  <c r="E73" i="2" l="1"/>
  <c r="E93" i="2" s="1"/>
  <c r="G53" i="2"/>
  <c r="C115" i="2"/>
  <c r="E74" i="2"/>
  <c r="E94" i="2" s="1"/>
  <c r="G54" i="2"/>
  <c r="E71" i="2"/>
  <c r="G51" i="2"/>
  <c r="E92" i="2" l="1"/>
  <c r="E72" i="2"/>
  <c r="E75" i="2" s="1"/>
  <c r="G73" i="2"/>
  <c r="G93" i="2"/>
  <c r="G94" i="2"/>
  <c r="G74" i="2"/>
  <c r="E91" i="2"/>
  <c r="E70" i="2"/>
  <c r="G71" i="2"/>
  <c r="E95" i="2" l="1"/>
  <c r="G72" i="2"/>
  <c r="G75" i="2" s="1"/>
  <c r="G92" i="2"/>
  <c r="G70" i="2"/>
  <c r="G91" i="2"/>
  <c r="E90" i="2"/>
  <c r="K120" i="2"/>
  <c r="Q120" i="2"/>
  <c r="E120" i="2"/>
  <c r="K124" i="2" l="1"/>
  <c r="G90" i="2"/>
  <c r="G95" i="2"/>
  <c r="K82" i="2"/>
  <c r="E82" i="2"/>
  <c r="E85" i="2" s="1"/>
  <c r="C85" i="2"/>
  <c r="K80" i="2"/>
  <c r="K121" i="2" s="1"/>
  <c r="E80" i="2"/>
  <c r="C80" i="2"/>
  <c r="E50" i="2"/>
  <c r="G50" i="2"/>
  <c r="E52" i="2"/>
  <c r="G52" i="2"/>
  <c r="G55" i="2" s="1"/>
  <c r="C50" i="2"/>
  <c r="O120" i="2"/>
  <c r="G120" i="2"/>
  <c r="C120" i="2"/>
  <c r="L108" i="2"/>
  <c r="E131" i="2"/>
  <c r="M131" i="2" s="1"/>
  <c r="I114" i="2"/>
  <c r="C117" i="2"/>
  <c r="C52" i="2"/>
  <c r="E114" i="2"/>
  <c r="E121" i="2" l="1"/>
  <c r="C123" i="2"/>
  <c r="C121" i="2"/>
  <c r="Q123" i="2"/>
  <c r="K85" i="2"/>
  <c r="K122" i="2"/>
  <c r="E122" i="2"/>
  <c r="C124" i="2"/>
  <c r="G124" i="2" s="1"/>
  <c r="C55" i="2"/>
  <c r="E55" i="2"/>
  <c r="Q124" i="2"/>
  <c r="S120" i="2"/>
  <c r="M120" i="2"/>
  <c r="I121" i="2"/>
  <c r="M121" i="2" l="1"/>
  <c r="Q122" i="2"/>
  <c r="G121" i="2"/>
  <c r="C122" i="2"/>
  <c r="G122" i="2" s="1"/>
  <c r="G123" i="2"/>
  <c r="I123" i="2"/>
  <c r="I124" i="2"/>
  <c r="M124" i="2" s="1"/>
  <c r="E125" i="2"/>
  <c r="Q121" i="2"/>
  <c r="K125" i="2"/>
  <c r="O121" i="2" l="1"/>
  <c r="S121" i="2" s="1"/>
  <c r="I122" i="2"/>
  <c r="M122" i="2" s="1"/>
  <c r="M123" i="2"/>
  <c r="Q125" i="2"/>
  <c r="O124" i="2"/>
  <c r="S124" i="2" s="1"/>
  <c r="O123" i="2"/>
  <c r="S123" i="2" s="1"/>
  <c r="C125" i="2"/>
  <c r="G125" i="2" s="1"/>
  <c r="C133" i="2" l="1"/>
  <c r="C136" i="2" s="1"/>
  <c r="I136" i="2"/>
  <c r="O122" i="2"/>
  <c r="S122" i="2" s="1"/>
  <c r="I125" i="2"/>
  <c r="O133" i="2" l="1"/>
  <c r="O136" i="2" s="1"/>
  <c r="O125" i="2"/>
  <c r="S125" i="2" s="1"/>
  <c r="M12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tc={34ABC1DA-9C93-4E87-800A-27692E01295C}</author>
    <author>tc={FEECD5D1-CB8A-41FD-9D9E-DF20DD6F45EF}</author>
    <author>tc={8D9B52BE-72BF-4C8E-9E8F-6E1BFAF67A03}</author>
    <author>tc={86B92D2A-6DE9-403F-9A8C-FE0BA4E7F7F4}</author>
  </authors>
  <commentList>
    <comment ref="AE5" authorId="0" shapeId="0" xr:uid="{34ABC1DA-9C93-4E87-800A-27692E01295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V projektu nemám, ale zařadíme to tam, ať máme pak co vykazovat... odpovídá to tomu, co měl popsáno bez kódu.
Prosím, doplň jej do projektu....</t>
      </text>
    </comment>
    <comment ref="AI14" authorId="1" shapeId="0" xr:uid="{FEECD5D1-CB8A-41FD-9D9E-DF20DD6F45E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Novy, nahrazuje VZ_02_V_D</t>
      </text>
    </comment>
    <comment ref="G20" authorId="2" shapeId="0" xr:uid="{8D9B52BE-72BF-4C8E-9E8F-6E1BFAF67A03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Rozvoj energetického managementu JU - změna 28.7.2025 na Navigační systém kampusu JU</t>
      </text>
    </comment>
    <comment ref="AE20" authorId="3" shapeId="0" xr:uid="{86B92D2A-6DE9-403F-9A8C-FE0BA4E7F7F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Nový, nahrazuje U_05_V_D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tc={115DB1FD-C903-4E01-93FF-5841CC994A00}</author>
  </authors>
  <commentList>
    <comment ref="G21" authorId="0" shapeId="0" xr:uid="{115DB1FD-C903-4E01-93FF-5841CC994A00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Rozvoj energetického managementu JU - změna 28.7.2025 na Navigační systém kampusu JU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tc={A8801235-ABC2-4494-A22B-157E51815275}</author>
  </authors>
  <commentList>
    <comment ref="Y3" authorId="0" shapeId="0" xr:uid="{A8801235-ABC2-4494-A22B-157E5181527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Počítají studentoměsíce, některé fakulty studenty - kontrola...</t>
      </text>
    </comment>
  </commentList>
</comments>
</file>

<file path=xl/sharedStrings.xml><?xml version="1.0" encoding="utf-8"?>
<sst xmlns="http://schemas.openxmlformats.org/spreadsheetml/2006/main" count="1140" uniqueCount="553">
  <si>
    <t>Součást JU:</t>
  </si>
  <si>
    <t>Dotační titul:</t>
  </si>
  <si>
    <t>Celkem</t>
  </si>
  <si>
    <t>Specifikace položek - odpovídá položkovému rozpočtu projektu</t>
  </si>
  <si>
    <t>Typ akce:</t>
  </si>
  <si>
    <t>MŠMT</t>
  </si>
  <si>
    <t>Označení akce v iFIS:</t>
  </si>
  <si>
    <t xml:space="preserve">Investiční prostředky </t>
  </si>
  <si>
    <t>Garant projektu:</t>
  </si>
  <si>
    <t>Správce rozpočtu:</t>
  </si>
  <si>
    <t>Podpis:</t>
  </si>
  <si>
    <t>Datum:</t>
  </si>
  <si>
    <t>Podrobné zdůvodnění nedočerpání prostředků</t>
  </si>
  <si>
    <t>Neinvestiční prostředky celkem</t>
  </si>
  <si>
    <t xml:space="preserve">            Ostatní náklady</t>
  </si>
  <si>
    <t>z toho Osobní náklady (vč. odvodů poj.)</t>
  </si>
  <si>
    <t>Převod prostředků</t>
  </si>
  <si>
    <t>Podrobné zdůvodnění převodu prostředků, resp. zdůvodnění čerpání převedených prostředků.</t>
  </si>
  <si>
    <t>Jihočeské univerzity v Českých Budějovicích</t>
  </si>
  <si>
    <t>1 Základní informace</t>
  </si>
  <si>
    <t>Jméno a příjmení:</t>
  </si>
  <si>
    <t>Email:</t>
  </si>
  <si>
    <t>2 Zpráva o průběhu řešení projektu</t>
  </si>
  <si>
    <t>Uveďte předem stanovené cíle a u každého z nich uveďte, do jaké míry byl splněn, případně důvod, proč splněn nebyl. Dále uveďte, do jaké míry byly projektem splněny potřeby vyplývající z analýzy potřeb projektového záměru.</t>
  </si>
  <si>
    <t>Plnění Indikátorů</t>
  </si>
  <si>
    <t>Název</t>
  </si>
  <si>
    <t>Zdroj pro ověření</t>
  </si>
  <si>
    <t xml:space="preserve">Změny </t>
  </si>
  <si>
    <t>Č.</t>
  </si>
  <si>
    <t xml:space="preserve">Jednotlivé změny </t>
  </si>
  <si>
    <t>Zdůvodnění</t>
  </si>
  <si>
    <t>4 Popis položek rozpočtu, které byly čerpány</t>
  </si>
  <si>
    <t>EF</t>
  </si>
  <si>
    <t>FF</t>
  </si>
  <si>
    <t>FROV</t>
  </si>
  <si>
    <t>1.1</t>
  </si>
  <si>
    <t>2.1</t>
  </si>
  <si>
    <t>2.2</t>
  </si>
  <si>
    <t>07</t>
  </si>
  <si>
    <t>RNDr. Josef Milota</t>
  </si>
  <si>
    <t>PF</t>
  </si>
  <si>
    <t>PřF</t>
  </si>
  <si>
    <t>TF</t>
  </si>
  <si>
    <t>ZSF</t>
  </si>
  <si>
    <t>číslo:</t>
  </si>
  <si>
    <t>Projekt:</t>
  </si>
  <si>
    <t>email</t>
  </si>
  <si>
    <t xml:space="preserve"> NEJDŘÍVE VYPLŇTE ČÍSLO PROJEKTU</t>
  </si>
  <si>
    <t>V případě podrobného členění uveďte i částky. (změny oproti žádosti uveďte do soupisu změn)</t>
  </si>
  <si>
    <t>Poskytovatel:</t>
  </si>
  <si>
    <t>název:</t>
  </si>
  <si>
    <t xml:space="preserve">1. Investiční prostředky </t>
  </si>
  <si>
    <t>7 Seznam příloh</t>
  </si>
  <si>
    <t>prorektor-studium@jcu.cz</t>
  </si>
  <si>
    <t>milota@jcu.cz</t>
  </si>
  <si>
    <t xml:space="preserve">Převod do fondů *) CELKEM                                               </t>
  </si>
  <si>
    <t>Akce</t>
  </si>
  <si>
    <t>Pokyny:</t>
  </si>
  <si>
    <t>Název indikátoru</t>
  </si>
  <si>
    <t>prorektor-zahranici@jcu.cz</t>
  </si>
  <si>
    <t>3 Rozpočet projektu (v Kč)</t>
  </si>
  <si>
    <t xml:space="preserve">Zpráva o plnění stanovených cílů a čerpání rozpočtu projektu  </t>
  </si>
  <si>
    <t>Typ zprávy</t>
  </si>
  <si>
    <t>Období (rok)</t>
  </si>
  <si>
    <t>v roce</t>
  </si>
  <si>
    <t>Poskytnuto  CELKEM</t>
  </si>
  <si>
    <t>Zůstatek po změnách</t>
  </si>
  <si>
    <t xml:space="preserve">do konce roku  </t>
  </si>
  <si>
    <t xml:space="preserve">v roce </t>
  </si>
  <si>
    <t>z toho Osobní náklady 
(vč. odvodů pojištění)</t>
  </si>
  <si>
    <t xml:space="preserve">            z toho Ostatní náklady</t>
  </si>
  <si>
    <t>Datum změny</t>
  </si>
  <si>
    <t xml:space="preserve">Čerpané prostředky </t>
  </si>
  <si>
    <t xml:space="preserve">2. Neinvestiční prostředky </t>
  </si>
  <si>
    <t xml:space="preserve">3 Celkem </t>
  </si>
  <si>
    <t>Poskytnuto z fondů *) z roku</t>
  </si>
  <si>
    <t xml:space="preserve">Zůstatek z fondů *) z roku  </t>
  </si>
  <si>
    <t>zprávy roku</t>
  </si>
  <si>
    <t>Vyčerpáno CELKEM k datu zprávy</t>
  </si>
  <si>
    <t>roku</t>
  </si>
  <si>
    <t xml:space="preserve">Čerpáno z fondů *) v roce  </t>
  </si>
  <si>
    <t xml:space="preserve"> Zůstatek z fondů *) z roku</t>
  </si>
  <si>
    <t xml:space="preserve">Vyplňte pouze v případě, </t>
  </si>
  <si>
    <t xml:space="preserve">Nedočerpané prostředky                                                </t>
  </si>
  <si>
    <t>CELKEM v roce</t>
  </si>
  <si>
    <t xml:space="preserve">     1.1 Dlouhodobý majetek a stav. úpravy</t>
  </si>
  <si>
    <t xml:space="preserve">     2.1 Osobní náklady (vč. odvodů poj.)</t>
  </si>
  <si>
    <t xml:space="preserve">     2.2 Ostatní náklady</t>
  </si>
  <si>
    <r>
      <t xml:space="preserve">PLÁN </t>
    </r>
    <r>
      <rPr>
        <b/>
        <vertAlign val="superscript"/>
        <sz val="14"/>
        <rFont val="Arial"/>
        <family val="2"/>
        <charset val="238"/>
      </rPr>
      <t>p</t>
    </r>
  </si>
  <si>
    <t>PLÁN</t>
  </si>
  <si>
    <t>PLÁN dle projektů</t>
  </si>
  <si>
    <t xml:space="preserve">Prioritní oblast </t>
  </si>
  <si>
    <t>Stav / jedno-tka</t>
  </si>
  <si>
    <t>Kód</t>
  </si>
  <si>
    <t>Garant</t>
  </si>
  <si>
    <t>č. projektu</t>
  </si>
  <si>
    <t>Součást</t>
  </si>
  <si>
    <t xml:space="preserve">Název projektu </t>
  </si>
  <si>
    <t>REK</t>
  </si>
  <si>
    <t>1.3</t>
  </si>
  <si>
    <t>prorektor-hodnoceni@jcu.cz</t>
  </si>
  <si>
    <t>KaM</t>
  </si>
  <si>
    <t>PhDr. Pavel Král, Ph.D.</t>
  </si>
  <si>
    <t>prof. PaedDr. Vladimír Papoušek, CSc.</t>
  </si>
  <si>
    <t>doc. Ing. Vladimír Žlábek, Ph.D.</t>
  </si>
  <si>
    <t>prof. RNDr. František Vácha, Ph.D.</t>
  </si>
  <si>
    <t>vacha@jcu.cz</t>
  </si>
  <si>
    <t xml:space="preserve">Schválené prostředky </t>
  </si>
  <si>
    <t>celkem</t>
  </si>
  <si>
    <t>MI 1</t>
  </si>
  <si>
    <t>MI 2</t>
  </si>
  <si>
    <t>MI 3</t>
  </si>
  <si>
    <t>MI 4</t>
  </si>
  <si>
    <t>MI celkem</t>
  </si>
  <si>
    <t>NS</t>
  </si>
  <si>
    <t>110900</t>
  </si>
  <si>
    <t>040001</t>
  </si>
  <si>
    <t>010112</t>
  </si>
  <si>
    <t>010102</t>
  </si>
  <si>
    <t>120902</t>
  </si>
  <si>
    <t>030100</t>
  </si>
  <si>
    <t>060031</t>
  </si>
  <si>
    <t>059020</t>
  </si>
  <si>
    <t>010119</t>
  </si>
  <si>
    <t>Jednotka</t>
  </si>
  <si>
    <r>
      <t>Změny užití fondů *) v</t>
    </r>
    <r>
      <rPr>
        <sz val="8"/>
        <rFont val="Clara Sans"/>
        <charset val="238"/>
      </rPr>
      <t xml:space="preserve"> roce</t>
    </r>
  </si>
  <si>
    <t>Pokud došlo v průběhu řešení ke změnám, uveďte je, vysvětlete příčinu a v případě, že jste žádali o jejich povolení rektora JU, uveďte datum vyřízení této žádosti.</t>
  </si>
  <si>
    <t>NS:</t>
  </si>
  <si>
    <t>pozn.: prostředky přesouvané z položky, vpisujte s minusem.</t>
  </si>
  <si>
    <t>Plnění cílů projektu</t>
  </si>
  <si>
    <t>Fakulta:</t>
  </si>
  <si>
    <r>
      <t xml:space="preserve">Vyplňte dosažené výše indikátorů, k datu odevzdání této zprávy. </t>
    </r>
    <r>
      <rPr>
        <b/>
        <i/>
        <sz val="8"/>
        <color theme="3"/>
        <rFont val="Clara Sans"/>
        <charset val="238"/>
      </rPr>
      <t>U každého indikátoru uveďte zdroj pro jeho ověření!</t>
    </r>
  </si>
  <si>
    <r>
      <t xml:space="preserve">Vyplňte dosažené výše indikátorů, k datu odevzdání této zprávy - vyplňujte hodnoty k těm indikátorům, které jsou pro Vaši fakultu relevantní (tedy nemají nenulové plánované hodnoty). </t>
    </r>
    <r>
      <rPr>
        <b/>
        <i/>
        <sz val="8"/>
        <color theme="3"/>
        <rFont val="Clara Sans"/>
        <charset val="238"/>
      </rPr>
      <t>U každého indikátoru uveďte zdroj pro jeho ověření!</t>
    </r>
  </si>
  <si>
    <t>Pokud došlo v průběhu řešení ke změnám, uveďte je, vysvětlete příčinu.</t>
  </si>
  <si>
    <t>Garant dílčího projektu:</t>
  </si>
  <si>
    <r>
      <t xml:space="preserve">Změny </t>
    </r>
    <r>
      <rPr>
        <sz val="11"/>
        <rFont val="Clara Sans"/>
        <charset val="238"/>
      </rPr>
      <t xml:space="preserve">(přesuny prostředků mezi položkami) </t>
    </r>
  </si>
  <si>
    <r>
      <t xml:space="preserve">Přiděleno z fondů *) </t>
    </r>
    <r>
      <rPr>
        <sz val="8"/>
        <rFont val="Clara Sans"/>
        <charset val="238"/>
      </rPr>
      <t>na rok</t>
    </r>
  </si>
  <si>
    <t>Výsledek realizace</t>
  </si>
  <si>
    <t>Vysvětlivky</t>
  </si>
  <si>
    <r>
      <rPr>
        <sz val="7"/>
        <color rgb="FFC00000"/>
        <rFont val="Clara Sans"/>
        <charset val="238"/>
      </rPr>
      <t>Přečerpáno</t>
    </r>
    <r>
      <rPr>
        <sz val="7"/>
        <color theme="1" tint="0.499984740745262"/>
        <rFont val="Clara Sans"/>
        <charset val="238"/>
      </rPr>
      <t xml:space="preserve"> = nebyla provedena změna a projekt vyčerpal více, než mu bylo přiděleno.</t>
    </r>
  </si>
  <si>
    <r>
      <rPr>
        <sz val="7"/>
        <color rgb="FF00B050"/>
        <rFont val="Clara Sans"/>
        <charset val="238"/>
      </rPr>
      <t>OK</t>
    </r>
    <r>
      <rPr>
        <sz val="7"/>
        <color theme="1" tint="0.499984740745262"/>
        <rFont val="Clara Sans"/>
        <charset val="238"/>
      </rPr>
      <t xml:space="preserve"> = čerpání rozpočtu proběhlo v pořádku.</t>
    </r>
  </si>
  <si>
    <r>
      <rPr>
        <sz val="7"/>
        <color theme="5" tint="-0.249977111117893"/>
        <rFont val="Clara Sans"/>
        <charset val="238"/>
      </rPr>
      <t>Nedočerpáno</t>
    </r>
    <r>
      <rPr>
        <sz val="7"/>
        <color theme="1" tint="0.499984740745262"/>
        <rFont val="Clara Sans"/>
        <charset val="238"/>
      </rPr>
      <t xml:space="preserve"> = DISPONIBILNÍ K PŘEVODU DO FONDU - nebyly utraceny všechny přidělené prostředky.</t>
    </r>
  </si>
  <si>
    <r>
      <t xml:space="preserve">Schválené prostředky z fondů *) </t>
    </r>
    <r>
      <rPr>
        <sz val="8"/>
        <rFont val="Clara Sans"/>
        <charset val="238"/>
      </rPr>
      <t>z roku ***]</t>
    </r>
  </si>
  <si>
    <t>papousek@ff.jcu.cz</t>
  </si>
  <si>
    <t>PC MŠMT</t>
  </si>
  <si>
    <t>Cíl SZ JU</t>
  </si>
  <si>
    <t>OC MŠMT</t>
  </si>
  <si>
    <t>2.4</t>
  </si>
  <si>
    <t>5.1</t>
  </si>
  <si>
    <t>3.1</t>
  </si>
  <si>
    <t>5.3</t>
  </si>
  <si>
    <t>3.4</t>
  </si>
  <si>
    <t>5.1/5.3</t>
  </si>
  <si>
    <t>Další prioritní cíle</t>
  </si>
  <si>
    <t>3.C</t>
  </si>
  <si>
    <t>5.B</t>
  </si>
  <si>
    <t>I.1.B</t>
  </si>
  <si>
    <t>1.E</t>
  </si>
  <si>
    <t>I.4.A</t>
  </si>
  <si>
    <t>II.3</t>
  </si>
  <si>
    <t>6.A</t>
  </si>
  <si>
    <t>1.A; 1.B; 1.C</t>
  </si>
  <si>
    <t>prorektor-veda@jcu.cz</t>
  </si>
  <si>
    <t>Mezinárodní mobility studentů a pracovníků</t>
  </si>
  <si>
    <t>Podpora internacionalizace JU</t>
  </si>
  <si>
    <t>Centralizace systémů MaR, EZS, EPS a kamerového systému napříč JU</t>
  </si>
  <si>
    <t>Bc. Miroslav Hromada</t>
  </si>
  <si>
    <t>hromada@jcu.cz</t>
  </si>
  <si>
    <t>Obnova sportovního materiálu pro výběrovou tělesnou výchovu studentů Jihočeské univerzity</t>
  </si>
  <si>
    <t>doc. PeadDr. Jan Štumbauer, CSc.</t>
  </si>
  <si>
    <t>stumba@pf.jcu.cz</t>
  </si>
  <si>
    <t>Ing. Hynek Rossmüller</t>
  </si>
  <si>
    <t>rossmh@jcu.cz</t>
  </si>
  <si>
    <t xml:space="preserve">Modernizace zázemí a služeb KaM JU - bezpečnostní opatření K1 a přemístění recepce K5 </t>
  </si>
  <si>
    <t>Marketingová podpora internacionalizace univerzity</t>
  </si>
  <si>
    <t>Marketingová podpora činností univerzity a fakult</t>
  </si>
  <si>
    <t>Rozvoj centrálních informačních systémů na JU</t>
  </si>
  <si>
    <t>Bc. Eduard Krlín</t>
  </si>
  <si>
    <t>ekrlin@jcu.cz</t>
  </si>
  <si>
    <t>Rozvoj IT infrastruktury JU</t>
  </si>
  <si>
    <t>Ing. Jakub Friedrich</t>
  </si>
  <si>
    <t>jfriedrich@jcu.cz</t>
  </si>
  <si>
    <t>PPSŘ22-23 33/FF-Král</t>
  </si>
  <si>
    <t>010104</t>
  </si>
  <si>
    <t>070910</t>
  </si>
  <si>
    <t>010107</t>
  </si>
  <si>
    <t>010300</t>
  </si>
  <si>
    <t>030430</t>
  </si>
  <si>
    <t>010124</t>
  </si>
  <si>
    <t>010103</t>
  </si>
  <si>
    <t>010108</t>
  </si>
  <si>
    <t>FZT</t>
  </si>
  <si>
    <t>090805</t>
  </si>
  <si>
    <t>x</t>
  </si>
  <si>
    <t>VZ_04_V_H</t>
  </si>
  <si>
    <t>VZ_10_V_H</t>
  </si>
  <si>
    <t>VZ_11_V_H</t>
  </si>
  <si>
    <t>VZ_02_V_D</t>
  </si>
  <si>
    <t>VZ_04_V_D</t>
  </si>
  <si>
    <t>VZ_05_V_D</t>
  </si>
  <si>
    <t>VZ_06_V_D</t>
  </si>
  <si>
    <t>VZ_07_V_D</t>
  </si>
  <si>
    <t>VZ_09_V_D</t>
  </si>
  <si>
    <t>VZ_13_V_D</t>
  </si>
  <si>
    <t>VZ_14_V_D</t>
  </si>
  <si>
    <t>VZ_14_V_D_IT</t>
  </si>
  <si>
    <t>VZ_15_V_D</t>
  </si>
  <si>
    <t>VZ_20_V_D</t>
  </si>
  <si>
    <t>VYZ_01_V_H</t>
  </si>
  <si>
    <t>VYZ_04_V_H</t>
  </si>
  <si>
    <t>VYZ_01_V_D</t>
  </si>
  <si>
    <t>VYZ_02_V_D</t>
  </si>
  <si>
    <t>VYZ_04_V_D</t>
  </si>
  <si>
    <t>VYZ_16_V_D</t>
  </si>
  <si>
    <t>VYZ_17_V_D</t>
  </si>
  <si>
    <t>INT_01_V_H</t>
  </si>
  <si>
    <t>INT_03_V_H</t>
  </si>
  <si>
    <t>INT_04_V_H</t>
  </si>
  <si>
    <t>INT_05_V_H</t>
  </si>
  <si>
    <t>INT_07_V_H</t>
  </si>
  <si>
    <t>INT_08_V_H</t>
  </si>
  <si>
    <t>INT_09_V_H</t>
  </si>
  <si>
    <t>INT_02_V_D</t>
  </si>
  <si>
    <t>INT_03_V_D</t>
  </si>
  <si>
    <t>INT_04_V_D</t>
  </si>
  <si>
    <t>INT_05_V_D</t>
  </si>
  <si>
    <t>INT_06_V_D</t>
  </si>
  <si>
    <t>INT_12_V_D_I</t>
  </si>
  <si>
    <t>OTEV_04_V_H</t>
  </si>
  <si>
    <t>OTEV_01_V_D</t>
  </si>
  <si>
    <t>OTEV_07_V_D</t>
  </si>
  <si>
    <t>OTEV_08_V_D</t>
  </si>
  <si>
    <t>UD_05_V_H</t>
  </si>
  <si>
    <t>UD_03_V_D</t>
  </si>
  <si>
    <t>UD_04_V_D</t>
  </si>
  <si>
    <t>RIZ_03_V_H</t>
  </si>
  <si>
    <t>RIZ_04_V_H</t>
  </si>
  <si>
    <t>RIZ_04_V_D</t>
  </si>
  <si>
    <t>RIZ_18_V_D</t>
  </si>
  <si>
    <t>RIZ_5.1_kvalita</t>
  </si>
  <si>
    <t>RIZ_5.1_reporting</t>
  </si>
  <si>
    <t>RIZ_5.3_IT</t>
  </si>
  <si>
    <t>Počet studentů v BSP, MSP, NMSP a DSP na praxích</t>
  </si>
  <si>
    <t>Počet kurzů CŽV</t>
  </si>
  <si>
    <t>Počet účastníků kurzů CŽV</t>
  </si>
  <si>
    <t>Vznik přehledu podpůrných služeb pro studenty JU</t>
  </si>
  <si>
    <t>Existence metodiky pro on-line, flexibilní či hybridní výuku</t>
  </si>
  <si>
    <t xml:space="preserve">Technická podpora/realizace kurzů </t>
  </si>
  <si>
    <t>Nárůst počtu mezioborových a mezifakultních vzdělávacích akcí</t>
  </si>
  <si>
    <t>Počet nových/inovovaných nástrojů pro sledování a zajišťování kvality</t>
  </si>
  <si>
    <t>Počet účastí na vzdělávacích veletrzích</t>
  </si>
  <si>
    <t>Počet informačních, poradenských a podpůrných služeb pro uchazeče o studium, studenty a absolventy</t>
  </si>
  <si>
    <t>Zbudované, modernizované a inovované prostory/vybavení pro studijní programy</t>
  </si>
  <si>
    <t>Počet nových nebo inovovaných zařízení</t>
  </si>
  <si>
    <t>Digitalizované agendy</t>
  </si>
  <si>
    <t>Vznik informačního centra JU (Inovované online platformy/moduly pro flexibilní formy vzdělávání)</t>
  </si>
  <si>
    <t>Počet podaných projektů do zahraničních grantových agentur</t>
  </si>
  <si>
    <t>Počet podaných projektů do národních grantových agentur</t>
  </si>
  <si>
    <t>Existence metodického postupu</t>
  </si>
  <si>
    <t>Podpora vzniku a implementace externích evaluací mimo MEP</t>
  </si>
  <si>
    <t>Vznik „jednotky“ na podporu zahraničních projektů</t>
  </si>
  <si>
    <t>Existence systému rozvoje DSP na JU</t>
  </si>
  <si>
    <t xml:space="preserve">Podpora pořádání celouniverzitních konferencí, kurzů pro DSP </t>
  </si>
  <si>
    <t>Počet zahraničních studentů BSP, MSP, NMSP a DSP, kteří v rámci mobilitních programů přijeli na nejméně 14denní pobyt nebo stáž</t>
  </si>
  <si>
    <t>Počet studentů BSP, MSP, NMSP a DSP, kteří v rámci mobilitních programů vyjeli na nejméně 14denní pobyt nebo stáž</t>
  </si>
  <si>
    <t>Počet studentů BSP, MSP, NMSP a DSP, kteří v rámci mobilitních programů vyjeli na nejméně 30denní pobyt nebo stáž</t>
  </si>
  <si>
    <t>Počet zaměstnanců, kteří vyjeli na pobyt nebo stáž do zahraničí</t>
  </si>
  <si>
    <t>Počet zahraničních zaměstnanců, kteří přijeli na pobyt nebo stáž</t>
  </si>
  <si>
    <t>Počet joint/double/multiple degree studijních programů</t>
  </si>
  <si>
    <t>Počet předmětů vyučovaných pouze v cizím jazyce</t>
  </si>
  <si>
    <t>Realizace kurzů interkulturní komunikace</t>
  </si>
  <si>
    <t>Podíl zahraničních studentů k celkovému počtu studentů (včetně krátkodobých studijních pobytů)</t>
  </si>
  <si>
    <t>Počet smluv se zahraničními partnery</t>
  </si>
  <si>
    <t>Počet účastí na zahraničních veletrzích</t>
  </si>
  <si>
    <t>Uspořádání mezinárodní letní školy</t>
  </si>
  <si>
    <t>Návštěvnost webu JU (bez fakultních stránek)</t>
  </si>
  <si>
    <t>Marketingová strategie</t>
  </si>
  <si>
    <t>Vznik a implementace strategie</t>
  </si>
  <si>
    <t>Počet organizovaných, či spoluorganizovaných kulturních, společenských a sportovních akcí</t>
  </si>
  <si>
    <t xml:space="preserve">Počet realizovaných projektů a jiných strategických opatření centrálního charakteru za účelem snížení spotřeby a efektivnějšího využití energií (elektrická, tepelná energie, plyn, voda) </t>
  </si>
  <si>
    <t>Realizace vzdělávacích aktivit v oblasti udržitelného rozvoje</t>
  </si>
  <si>
    <t>Podpora propagace zdravého životního stylu (sportovní aktivity, strava apod.)</t>
  </si>
  <si>
    <t>Počet podpořených pracovníků (fyzických)</t>
  </si>
  <si>
    <t xml:space="preserve">Počet podpořených pracovníků (přepočtených) </t>
  </si>
  <si>
    <t>Elektronizace agend a procesů</t>
  </si>
  <si>
    <t>Realizace plánu investičních aktivit/investiční strategie</t>
  </si>
  <si>
    <t>Počet podpořených hodnotících panelů a implementace doporučení hodnotících panelů</t>
  </si>
  <si>
    <t>Nové reporty/aktualizace reportů, datová základna, proof of proof koncept prediktivního modelu</t>
  </si>
  <si>
    <t>Opatření ke zvýšení IT bezpečnosti</t>
  </si>
  <si>
    <t>počet</t>
  </si>
  <si>
    <t>počet (kumulativně)</t>
  </si>
  <si>
    <t>% podíl</t>
  </si>
  <si>
    <t>% nárůst</t>
  </si>
  <si>
    <t>FTE</t>
  </si>
  <si>
    <t>MI5</t>
  </si>
  <si>
    <t>MI6</t>
  </si>
  <si>
    <t>MI7</t>
  </si>
  <si>
    <t>Vazba na SZ JU</t>
  </si>
  <si>
    <t>Prioritní cíl SZ 2021+ MŠMT</t>
  </si>
  <si>
    <t>Operační cíl SZ 2021+ MŠMT</t>
  </si>
  <si>
    <t>Řešitel projektu:</t>
  </si>
  <si>
    <r>
      <t xml:space="preserve">Schválené prostředky PPSŘ </t>
    </r>
    <r>
      <rPr>
        <sz val="8"/>
        <rFont val="Clara Sans"/>
        <charset val="238"/>
      </rPr>
      <t>v roce</t>
    </r>
  </si>
  <si>
    <r>
      <t xml:space="preserve">Změny užití prostředků PPSŘ  </t>
    </r>
    <r>
      <rPr>
        <sz val="8"/>
        <rFont val="Clara Sans"/>
        <charset val="238"/>
      </rPr>
      <t>v roce</t>
    </r>
  </si>
  <si>
    <r>
      <t xml:space="preserve">Přiděleno celkem z  PPSŘ </t>
    </r>
    <r>
      <rPr>
        <sz val="8"/>
        <rFont val="Clara Sans"/>
        <charset val="238"/>
      </rPr>
      <t>na rok</t>
    </r>
    <r>
      <rPr>
        <b/>
        <sz val="8"/>
        <rFont val="Clara Sans"/>
        <charset val="238"/>
      </rPr>
      <t xml:space="preserve"> </t>
    </r>
  </si>
  <si>
    <r>
      <t xml:space="preserve">Zbylé prostředky z PPSŘ </t>
    </r>
    <r>
      <rPr>
        <sz val="8"/>
        <rFont val="Clara Sans"/>
        <charset val="238"/>
      </rPr>
      <t>na rok</t>
    </r>
    <r>
      <rPr>
        <b/>
        <sz val="8"/>
        <rFont val="Clara Sans"/>
        <charset val="238"/>
      </rPr>
      <t xml:space="preserve"> </t>
    </r>
  </si>
  <si>
    <t>Příspěvek - ukazatel I (Program na podporu strategického řízení vysokých škol 2022-2025)</t>
  </si>
  <si>
    <t>Označení projektu:</t>
  </si>
  <si>
    <t>Poskytnuto z PPSŘ po změnách</t>
  </si>
  <si>
    <t>Čerpáno z PPSŘ
k datu</t>
  </si>
  <si>
    <t>Zůstatek z PPSŘ</t>
  </si>
  <si>
    <t>Název navazujícího projektu PPSŘ:</t>
  </si>
  <si>
    <t>*) pro účely PPSŘ jsou užívány fondy 1) FRIM (Fond rozvoje investičního majetku) a 2) FPP (Fond provozních prostředků);  
Pozn.: Pokud je údaj "červeně", jedná se o chybně vyplněnou částku (vyšší, než, kterou má projekt k dispozici)</t>
  </si>
  <si>
    <t>*) pro účely PPSŘ jsou užívány fondy 1) FRIM (Fond rozvoje investičního majetku) a 2) FPP (Fond provozních prostředků)</t>
  </si>
  <si>
    <t xml:space="preserve">*) pro účely PPSŘ jsou užívány fondy 1) FRIM (Fond rozvoje investičního majetku) a 2) FPP (Fond provozních prostředků);                </t>
  </si>
  <si>
    <r>
      <t xml:space="preserve">Schválené prostředky PPSŘ </t>
    </r>
    <r>
      <rPr>
        <sz val="9"/>
        <rFont val="Clara Sans"/>
        <charset val="238"/>
      </rPr>
      <t>v roce</t>
    </r>
  </si>
  <si>
    <r>
      <t xml:space="preserve">Schválené prostředky z fondů *) </t>
    </r>
    <r>
      <rPr>
        <sz val="9"/>
        <rFont val="Clara Sans"/>
        <charset val="238"/>
      </rPr>
      <t>z roku ***]</t>
    </r>
  </si>
  <si>
    <r>
      <t xml:space="preserve">Změny </t>
    </r>
    <r>
      <rPr>
        <sz val="9"/>
        <rFont val="Clara Sans"/>
        <charset val="238"/>
      </rPr>
      <t xml:space="preserve">(přesuny prostředků mezi položkami) </t>
    </r>
  </si>
  <si>
    <r>
      <t xml:space="preserve">Změny užití prostředků PPSŘ  </t>
    </r>
    <r>
      <rPr>
        <sz val="9"/>
        <rFont val="Clara Sans"/>
        <charset val="238"/>
      </rPr>
      <t>v roce</t>
    </r>
  </si>
  <si>
    <r>
      <t xml:space="preserve">Změny užití fondů *) </t>
    </r>
    <r>
      <rPr>
        <sz val="9"/>
        <rFont val="Clara Sans"/>
        <charset val="238"/>
      </rPr>
      <t>v roce</t>
    </r>
  </si>
  <si>
    <r>
      <t xml:space="preserve">Přiděleno z fondů *) </t>
    </r>
    <r>
      <rPr>
        <sz val="9"/>
        <rFont val="Clara Sans"/>
        <charset val="238"/>
      </rPr>
      <t>na rok</t>
    </r>
  </si>
  <si>
    <r>
      <t xml:space="preserve">Čerpáno z PPSŘ </t>
    </r>
    <r>
      <rPr>
        <sz val="9"/>
        <rFont val="Clara Sans"/>
        <charset val="238"/>
      </rPr>
      <t>v roce</t>
    </r>
  </si>
  <si>
    <r>
      <t xml:space="preserve">Čerpáno z fondů *) </t>
    </r>
    <r>
      <rPr>
        <sz val="9"/>
        <rFont val="Clara Sans"/>
        <charset val="238"/>
      </rPr>
      <t>v roce</t>
    </r>
  </si>
  <si>
    <r>
      <t xml:space="preserve">Zbylé prostředky z  PPSŘ </t>
    </r>
    <r>
      <rPr>
        <sz val="9"/>
        <rFont val="Clara Sans"/>
        <charset val="238"/>
      </rPr>
      <t>na rok</t>
    </r>
    <r>
      <rPr>
        <b/>
        <sz val="9"/>
        <rFont val="Clara Sans"/>
        <charset val="238"/>
      </rPr>
      <t xml:space="preserve"> </t>
    </r>
  </si>
  <si>
    <t>6 Žádost o převod nedočerpaných prostředků PPSŘ</t>
  </si>
  <si>
    <r>
      <t xml:space="preserve">Přiděleno celkem z  PPSŘ </t>
    </r>
    <r>
      <rPr>
        <sz val="9"/>
        <rFont val="Clara Sans"/>
        <charset val="238"/>
      </rPr>
      <t>na rok</t>
    </r>
    <r>
      <rPr>
        <b/>
        <sz val="9"/>
        <rFont val="Clara Sans"/>
        <charset val="238"/>
      </rPr>
      <t xml:space="preserve"> </t>
    </r>
  </si>
  <si>
    <r>
      <t xml:space="preserve">Zbylé prostředky z  fondů *) </t>
    </r>
    <r>
      <rPr>
        <sz val="8"/>
        <rFont val="Clara Sans"/>
        <charset val="238"/>
      </rPr>
      <t>roku</t>
    </r>
  </si>
  <si>
    <r>
      <t xml:space="preserve">Zbylé prostředky z  fondů *) </t>
    </r>
    <r>
      <rPr>
        <sz val="9"/>
        <rFont val="Clara Sans"/>
        <charset val="238"/>
      </rPr>
      <t>v roce</t>
    </r>
  </si>
  <si>
    <t>Název projektu PPSŘ:</t>
  </si>
  <si>
    <t>kvestor@jcu.cz</t>
  </si>
  <si>
    <t>4.1; 4.2</t>
  </si>
  <si>
    <t xml:space="preserve"> O převodu prostředků rozhoduje rektor JU - dle pravidel realizace PPSŘ.</t>
  </si>
  <si>
    <t xml:space="preserve">Uveďte předem stanovené cíle a u každého z nich uveďte, do jaké míry byl splněn, případně důvod, proč splněn nebyl. </t>
  </si>
  <si>
    <t xml:space="preserve">Příspěvek - ukazatel I </t>
  </si>
  <si>
    <t>do 14. 2. 2026</t>
  </si>
  <si>
    <t>do 14. 2. 2025</t>
  </si>
  <si>
    <t>Roční zpráva 2024</t>
  </si>
  <si>
    <t>Roční zpráva 2025</t>
  </si>
  <si>
    <t>Stav plnění 
v roce 2024</t>
  </si>
  <si>
    <t>Plánovaný stav 
2024</t>
  </si>
  <si>
    <t>Plánovaný stav 
2025</t>
  </si>
  <si>
    <t>Stav plnění 
v roce 2025</t>
  </si>
  <si>
    <t>5 Oznámení o nedočerpání prostředků z příspěvku na projekty PPSŘ 2024-2025 v roce</t>
  </si>
  <si>
    <t>Příkazce operace:</t>
  </si>
  <si>
    <t>INT_02_V_H</t>
  </si>
  <si>
    <t>plán 2024</t>
  </si>
  <si>
    <t>plán 2025</t>
  </si>
  <si>
    <t>plnění 2024</t>
  </si>
  <si>
    <t>plnění 2025</t>
  </si>
  <si>
    <t xml:space="preserve">Dílčí zpráva o plnění stanovených cílů a čerpání rozpočtu projektu č. 07 PPSŘ 2024-2025 </t>
  </si>
  <si>
    <t>Program na podporu strategického řízení 2022-2025</t>
  </si>
  <si>
    <t>***] z roku 2023 nebyly převáděny žádné prostředky z fondů.</t>
  </si>
  <si>
    <t>2024</t>
  </si>
  <si>
    <t>2025</t>
  </si>
  <si>
    <t>VZ_12_V_D</t>
  </si>
  <si>
    <t>VYZ_15_V_D</t>
  </si>
  <si>
    <t>VYZ_18_V_D</t>
  </si>
  <si>
    <t>INT_10_V_D</t>
  </si>
  <si>
    <r>
      <t>Počet klientů využívajících služby Vysokoškolské psychologické poradny a Kariérního centra</t>
    </r>
    <r>
      <rPr>
        <i/>
        <sz val="9.5"/>
        <rFont val="Clara Sans"/>
        <charset val="238"/>
      </rPr>
      <t xml:space="preserve"> </t>
    </r>
  </si>
  <si>
    <t>Vznik a podpora Školy doktorských studií JU</t>
  </si>
  <si>
    <t>Vytvoření a implementace systému hodnocení DSP na JU</t>
  </si>
  <si>
    <t>Počet zahraničních studentů BSP, MSP, NMSP a DSP, kteří v rámci mobilitních programů přijeli na nejméně 30denní pobyt nebo stáž</t>
  </si>
  <si>
    <t xml:space="preserve">JU součástí konsorcia Evropské univerzity </t>
  </si>
  <si>
    <t>Realizace externí evaluace implementace Strategického záměru</t>
  </si>
  <si>
    <t>Počet</t>
  </si>
  <si>
    <t>PLÁN - projekty (2024)</t>
  </si>
  <si>
    <t>PLÁN - projekty (2025)</t>
  </si>
  <si>
    <t>cíl MŠMT</t>
  </si>
  <si>
    <t>cíl SZJU21</t>
  </si>
  <si>
    <t>realizace</t>
  </si>
  <si>
    <t>2024 Náklady-H NIV osobní</t>
  </si>
  <si>
    <t>2024 Náklady-H NIV ostatní</t>
  </si>
  <si>
    <t>2024 Náklady-H NIV Celkem</t>
  </si>
  <si>
    <t xml:space="preserve">2024 Náklady-H INV </t>
  </si>
  <si>
    <t xml:space="preserve">2024 Celkem-H  </t>
  </si>
  <si>
    <t>2025 Náklady-H NIV osobní</t>
  </si>
  <si>
    <t>2025 Náklady-H NIV ostatní</t>
  </si>
  <si>
    <t>2025 Náklady-H NIV Celkem</t>
  </si>
  <si>
    <t xml:space="preserve">2025 Náklady-H INV </t>
  </si>
  <si>
    <t xml:space="preserve">2025 Celkem-H  </t>
  </si>
  <si>
    <t>I</t>
  </si>
  <si>
    <t>24-25</t>
  </si>
  <si>
    <t>I.1; I.4; I.5</t>
  </si>
  <si>
    <t>I.1.A; I.1.B; I.1.C; I.4.A; I.4.B; I.4.C;I.5.B</t>
  </si>
  <si>
    <t>3.1-3.5</t>
  </si>
  <si>
    <t>Mgr. Zdeňka Novotná</t>
  </si>
  <si>
    <t>novotnaz@jcu.cz</t>
  </si>
  <si>
    <t>Rekonstrukce budovy O pro potřeby PřF JU - část II</t>
  </si>
  <si>
    <t xml:space="preserve">Rozvoj a zvýšení potenciálu projektového řízení na JU   </t>
  </si>
  <si>
    <t>prorektor-rozvoj@jcu.cz</t>
  </si>
  <si>
    <t>1.3; 5.1;5.3</t>
  </si>
  <si>
    <t>1.3 , 5.3</t>
  </si>
  <si>
    <t>2.A;2.B;2.D;2.G</t>
  </si>
  <si>
    <t>1.1; 1.2; 1.3; 1.5; 1.6</t>
  </si>
  <si>
    <t>Podpora a rozvoj vzdělávání na JU 2024-2025</t>
  </si>
  <si>
    <t>doc. PhDr. Renata Malátová, Ph.D.</t>
  </si>
  <si>
    <t>Analýzy, reporting a správa dat 2024-2025</t>
  </si>
  <si>
    <t>1.1; 1.2; 1.5; 5.1</t>
  </si>
  <si>
    <t>Kvalita 2024-2025</t>
  </si>
  <si>
    <t>doc. ThDr. Rudolf Svoboda, Th.D.</t>
  </si>
  <si>
    <t>Škola doktorských studií</t>
  </si>
  <si>
    <t>doc. Ing. Luděk Berec, Dr.</t>
  </si>
  <si>
    <t>Aplikace Směrnice MŠMT pro pasportizaci objektů JU do užívaného programového vybavení</t>
  </si>
  <si>
    <t xml:space="preserve">Stanovení BIM protokolu včetně požadavků na datové přílohy </t>
  </si>
  <si>
    <t>Studovna ZSF JU – modernizace a inovace prostor</t>
  </si>
  <si>
    <t xml:space="preserve">Ing. Bohumír Šindelář </t>
  </si>
  <si>
    <t>bsindel@zsf.jcu.cz</t>
  </si>
  <si>
    <t>Rozvoj a podpora Mezinárodní rady FF JU</t>
  </si>
  <si>
    <t>5.A</t>
  </si>
  <si>
    <t xml:space="preserve">Zajištění nezávislé evaluace Strategického záměru JU </t>
  </si>
  <si>
    <t>Typ akce</t>
  </si>
  <si>
    <t>Příkazce</t>
  </si>
  <si>
    <t>KP</t>
  </si>
  <si>
    <t>MI8</t>
  </si>
  <si>
    <t>rozpad na fakulty</t>
  </si>
  <si>
    <t>fakultní</t>
  </si>
  <si>
    <t>102010</t>
  </si>
  <si>
    <t>102010 + 102011</t>
  </si>
  <si>
    <t>Mgr. Vendula Mikolášková</t>
  </si>
  <si>
    <t>010136</t>
  </si>
  <si>
    <t>RIZ_10_V_D</t>
  </si>
  <si>
    <t>Víceúčelový provozní  a  skladovací objekt JU RE (dofinancování FZT SMART AGRITECH - z 2022)</t>
  </si>
  <si>
    <t>fond z 2023 celkem NIV</t>
  </si>
  <si>
    <t>fond z 2023 náklady osobní NIV</t>
  </si>
  <si>
    <t>fond z 2023 náklady ostatní NIV</t>
  </si>
  <si>
    <t>fond z 2023 INV</t>
  </si>
  <si>
    <t>fond z 2023 celkem</t>
  </si>
  <si>
    <t>102011</t>
  </si>
  <si>
    <t>Ing. Michal Hojdekr, Ph.D., MBA</t>
  </si>
  <si>
    <t>22-23</t>
  </si>
  <si>
    <t>INV 2024</t>
  </si>
  <si>
    <t>Mzdy 2024</t>
  </si>
  <si>
    <t>Ostatní 2024</t>
  </si>
  <si>
    <t>NIV 2024</t>
  </si>
  <si>
    <t>CELKEM 2024</t>
  </si>
  <si>
    <t>INV 2025</t>
  </si>
  <si>
    <t>Mzdy 2025</t>
  </si>
  <si>
    <t>Ostatní 2025</t>
  </si>
  <si>
    <t>NIV 2025</t>
  </si>
  <si>
    <t>CELKEM 2025</t>
  </si>
  <si>
    <t>Mezinárodní mobility EF JU</t>
  </si>
  <si>
    <t>Mezinárodní mobility FF JU</t>
  </si>
  <si>
    <t>Mezinárodní mobility FROV JU</t>
  </si>
  <si>
    <t>Mezinárodní mobility FZT JU</t>
  </si>
  <si>
    <t>Ing. Mgr. Pavel Olšan, Ph.D.</t>
  </si>
  <si>
    <t>olsan@fzt.jcu.cz</t>
  </si>
  <si>
    <t>Mezinárodní mobility PF JU</t>
  </si>
  <si>
    <t>doc. RNDr. Stanislav Kraft, Ph.D.</t>
  </si>
  <si>
    <t>prodekan_zahr@pf.jcu.cz</t>
  </si>
  <si>
    <t>Mezinárodní mobility PřF JU</t>
  </si>
  <si>
    <t>prof. Mgr. Ivana Kutá Smatanová, Ph.D.</t>
  </si>
  <si>
    <t>kuta@prf.jcu.cz</t>
  </si>
  <si>
    <t>Mezinárodní mobility TF JU</t>
  </si>
  <si>
    <t>Mezinárodní mobility ZSF JU</t>
  </si>
  <si>
    <t>Mgr. František Dolák, Ph.D., MBA</t>
  </si>
  <si>
    <t>fdolak@zsf.jcu.cz</t>
  </si>
  <si>
    <t>2024
INT_04_V_H</t>
  </si>
  <si>
    <t>2024
INT_03_V_H</t>
  </si>
  <si>
    <t>2024
INT_05_V_H</t>
  </si>
  <si>
    <t>2024
INT_07_V_H</t>
  </si>
  <si>
    <t>2024
INT_12_V_D_I</t>
  </si>
  <si>
    <t>2024
INT_02_V_H</t>
  </si>
  <si>
    <t>2025
INT_04_V_H</t>
  </si>
  <si>
    <t>2025
INT_03_V_H</t>
  </si>
  <si>
    <t>2025
INT_05_V_H</t>
  </si>
  <si>
    <t>2025
INT_07_V_H</t>
  </si>
  <si>
    <t>2025
INT_12_V_D_I</t>
  </si>
  <si>
    <t>2025
INT_02_V_H</t>
  </si>
  <si>
    <t>PPSŘ24-25 07/EF-Mezinárodní mobility</t>
  </si>
  <si>
    <t>PPSŘ24-25 07/FF-Král-Mobility</t>
  </si>
  <si>
    <t>PPSŘ24-25 07/FROV - Mezinárodní mobility</t>
  </si>
  <si>
    <t>PPSŘ24-25 07/FZT</t>
  </si>
  <si>
    <t>PPSŘ24-25 07/PF-Kraft</t>
  </si>
  <si>
    <t>PPSŘ24-25 07/PřF-Kutá</t>
  </si>
  <si>
    <t>PPSŘ24-25 7/TF-Novotný</t>
  </si>
  <si>
    <t>PPSŘ24-25 07/ZSF Mezin.mobility</t>
  </si>
  <si>
    <t>Tato tabulka se vyplňuje automaticky sama.</t>
  </si>
  <si>
    <t>Zaznamenávají se změny podstatné i nepodstatné (definice změn jsou popsány v interních pravidlech realizace PPSŘ).</t>
  </si>
  <si>
    <t xml:space="preserve">Příspěvek daného roku je v účatnictví označen KP 102010, fond ze předchozího roku je označen KP 102011. </t>
  </si>
  <si>
    <r>
      <rPr>
        <b/>
        <sz val="9"/>
        <color rgb="FFE00034"/>
        <rFont val="Clara Sans"/>
        <charset val="238"/>
      </rPr>
      <t xml:space="preserve">Vyplňujte pouze bílá pole, ostatní buňky se vyplňují automaticky. </t>
    </r>
    <r>
      <rPr>
        <sz val="8"/>
        <color rgb="FFE00034"/>
        <rFont val="Clara Sans"/>
        <charset val="238"/>
      </rPr>
      <t xml:space="preserve">
Vybrané buňky fungují jako výběr ze seznamu. Buňky mají omezený počet znaků k zobrazení, vyplňujte tedy informace tak, aby byly po vytištění konpletně viditelné. Pro "odřádkuvání" použijte klvásy "ALT" a "ENTER".</t>
    </r>
  </si>
  <si>
    <r>
      <rPr>
        <b/>
        <sz val="10"/>
        <color rgb="FFE00034"/>
        <rFont val="Clara Sans"/>
        <charset val="238"/>
      </rPr>
      <t>Vyplňujte pouze bílá pole, ostatní buňky se vyplňují automaticky</t>
    </r>
    <r>
      <rPr>
        <sz val="8"/>
        <color rgb="FFE00034"/>
        <rFont val="Clara Sans"/>
        <charset val="238"/>
      </rPr>
      <t>.
 Vybrané buňky fungují jako výběr ze seznamu. Buňky mají omezený počet znaků k zobrazení, vyplňujte tedy informace tak, aby byly po vytištění konpletně viditelné. Pro "odřádkuvání" použijte klvásy "ALT" a "ENTER".</t>
    </r>
  </si>
  <si>
    <r>
      <t xml:space="preserve">0 Identifikace zprávy - </t>
    </r>
    <r>
      <rPr>
        <i/>
        <sz val="11"/>
        <color rgb="FFE00034"/>
        <rFont val="Clara Sans"/>
        <charset val="238"/>
      </rPr>
      <t>vyberte typ zprávy z rozevíracího seznamu.</t>
    </r>
  </si>
  <si>
    <r>
      <t>0 Identifikace zprávy -</t>
    </r>
    <r>
      <rPr>
        <i/>
        <sz val="11"/>
        <color rgb="FFE00034"/>
        <rFont val="Clara Sans"/>
        <charset val="238"/>
      </rPr>
      <t xml:space="preserve"> vyberte typ zprávy z rozevíracího seznamu.</t>
    </r>
  </si>
  <si>
    <t>doc. Ing. Martin Pšenička, Ph.D.</t>
  </si>
  <si>
    <t>psenicka@frov.jcu.cz</t>
  </si>
  <si>
    <t>Mgr. Vladimír Kadlec</t>
  </si>
  <si>
    <t>vkadlec@ef.jcu.cz</t>
  </si>
  <si>
    <t>Mgr. Věra Suchomelová, Th.D.</t>
  </si>
  <si>
    <t>suchomelova@tf.jcu.cz</t>
  </si>
  <si>
    <t>Ing. Michaela Merčáková</t>
  </si>
  <si>
    <t>mmercakova@jcu.cz</t>
  </si>
  <si>
    <t>Přidělené prostředky po změnách</t>
  </si>
  <si>
    <t>Tato tabulka se automaticky přepočte dle zaznamenaných změn - přesunů prostředků mezi položkami rozpočtu.</t>
  </si>
  <si>
    <r>
      <t xml:space="preserve">Čerpáno z PPSŘ (příspěvek KP 102010) </t>
    </r>
    <r>
      <rPr>
        <sz val="8"/>
        <rFont val="Clara Sans"/>
        <charset val="238"/>
      </rPr>
      <t>v roce</t>
    </r>
  </si>
  <si>
    <r>
      <t xml:space="preserve">Čerpáno z fondů (KP 102011) *) </t>
    </r>
    <r>
      <rPr>
        <sz val="8"/>
        <rFont val="Clara Sans"/>
        <charset val="238"/>
      </rPr>
      <t>v roce</t>
    </r>
  </si>
  <si>
    <t>Do tabulky zaznamenejte čerpání položek rozpočtu za daný rok. Jak z příspěvku, tak z fondu, byl-li Vám poskytnut v daném roce řešení.</t>
  </si>
  <si>
    <t>PPSŘ24-25 08/REK-Internacionalizace JU</t>
  </si>
  <si>
    <t>PPSŘ24-25 09/REK-Centralizace systémů</t>
  </si>
  <si>
    <t>PPSŘ22-23 10/REK-Víceúčelový objekt JU</t>
  </si>
  <si>
    <t>PPSŘ24-25 13/PřF-Vácha</t>
  </si>
  <si>
    <t>PPSŘ24-25 14/PF-Štumbauer</t>
  </si>
  <si>
    <t>PPSŘ24-25 19/REK-Rozvoj projekt.řízení</t>
  </si>
  <si>
    <t>PPSŘ24-25 23/REK-Mark.internacionalizace</t>
  </si>
  <si>
    <t>PPSŘ24-25 24/REK-Marketing JU a fakult</t>
  </si>
  <si>
    <t>PPSŘ24-25 25/REK-Rozvoj centrálních IS</t>
  </si>
  <si>
    <t>PPSŘ24-25 26/REK-Rozvoj IT JU</t>
  </si>
  <si>
    <t>PPSŘ24-25 27/REK-Rozvoj vzdělávání na JU</t>
  </si>
  <si>
    <t>PPSŘ24-25 28/REK-Analýza dat</t>
  </si>
  <si>
    <t>PPSŘ24-25 29/REK-Kvalita 2024-2025</t>
  </si>
  <si>
    <t>PPSŘ24-25 34/REK-Škola doktor. Studií</t>
  </si>
  <si>
    <t>PPSŘ24-25 35/REK-Pasportizace objektů JU</t>
  </si>
  <si>
    <t>PPSŘ24-25 36/REK-Stanovení BIM protokolu</t>
  </si>
  <si>
    <t>PPSŘ24-25 37/REK-Rozvoj ener.mng. JU</t>
  </si>
  <si>
    <t>PPSŘ24-25 38/ZSF Studovna</t>
  </si>
  <si>
    <t>PPSŘ24-25 39/FF-Papoušek</t>
  </si>
  <si>
    <t>rozpad fakulty</t>
  </si>
  <si>
    <t>PPSŘ25 40/REK-Evaluace SZ</t>
  </si>
  <si>
    <r>
      <t xml:space="preserve">1 Základní informace - </t>
    </r>
    <r>
      <rPr>
        <i/>
        <sz val="11"/>
        <color rgb="FFE00034"/>
        <rFont val="Clara Sans"/>
        <charset val="238"/>
      </rPr>
      <t>vyberte fakultu z rozevíracího seznamu</t>
    </r>
  </si>
  <si>
    <t>1) že odevzdáváte "roční" nebo "závěrečnou" zprávu (pokud garant odevzdává "průběžnou" zprávu, nevyplňuje se),
2) že garant projektu řeší navazující/pokračující  projekt IP v roce následujícím a zároveň žádá nedočerpané prostředky na tento navazující projekt převést (pokud garant prostředky nepožaduje, nevyplňuje se). Převod prostředků schvaluje vedení JU - dle pravidel realizace PPSŘ.</t>
  </si>
  <si>
    <t>doc. Ph.Dr. Rostislav Smíšek, Ph.D.</t>
  </si>
  <si>
    <t>smisek@ff.jcu.cz</t>
  </si>
  <si>
    <t>Ing. arch. Stanislav Reaboi</t>
  </si>
  <si>
    <t>sreaboi@jcu.cz</t>
  </si>
  <si>
    <t>Bc. Zdeněk Filip</t>
  </si>
  <si>
    <t>Navigační systém kampusu JU</t>
  </si>
  <si>
    <t>2025 - fond 2024  Náklady-H NIV osobní</t>
  </si>
  <si>
    <t>2025 - fond 2024 Náklady-H NIV ostatní</t>
  </si>
  <si>
    <t>2025 - fond 2024  Náklady-H NIV Celkem</t>
  </si>
  <si>
    <t xml:space="preserve">2025 - fond 2024  Náklady-H INV </t>
  </si>
  <si>
    <t xml:space="preserve">2025 - fond 2024 Celkem-H  </t>
  </si>
  <si>
    <t>změny 2024 osobní</t>
  </si>
  <si>
    <t>změny 2024 ostatní</t>
  </si>
  <si>
    <t>změny INV 2024</t>
  </si>
  <si>
    <t>čerpání 2024 INV příspěvek</t>
  </si>
  <si>
    <t>čerpání 2024 osob příspěvek</t>
  </si>
  <si>
    <t>čerpání 2024 ostat příspěvek</t>
  </si>
  <si>
    <t>čerpání 2024 fond inv</t>
  </si>
  <si>
    <t>čerpání 2024 fond osobní</t>
  </si>
  <si>
    <t>čerpání 2024 fond ostatní</t>
  </si>
  <si>
    <t>ym2nz fond</t>
  </si>
  <si>
    <t>Plnění 2024</t>
  </si>
  <si>
    <t xml:space="preserve">     2.2 Ostatní náklady (vč. stipendií)</t>
  </si>
  <si>
    <t xml:space="preserve">            z toho Ostatní náklady
(vč. stipendií)</t>
  </si>
  <si>
    <t xml:space="preserve">            Ostatní náklady
(vč. stipendií)</t>
  </si>
  <si>
    <t>6 Žádost o převod nedočerpaných prostředků PPSŘ do fondu k dočerpání v roce 2026</t>
  </si>
  <si>
    <t>s termínem předložení max</t>
  </si>
  <si>
    <t>ver. k 251121</t>
  </si>
  <si>
    <t>Víceúčelový provozní a skladovací objekt JU RE / dofinancování FZT SMART AGRITECH 2022 / Rekonstrukce Menzy 2025)</t>
  </si>
  <si>
    <t>čerpání fond z 2024 mzdy</t>
  </si>
  <si>
    <t>čerpání fond z 2024 ostatní</t>
  </si>
  <si>
    <t>fond na 2025 mzdy</t>
  </si>
  <si>
    <t>fond na 2025 ostatní</t>
  </si>
  <si>
    <t>k dočerpání v roce</t>
  </si>
  <si>
    <t>Plnění cílů projektu 
a přínos opatření 
z pohledu kvality vykonávaných činností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</si>
</sst>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#,##0.00_ ;\-#,##0.00\ "/>
    <numFmt numFmtId="166" formatCode="0.0"/>
  </numFmts>
  <fonts count="11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lara Sans"/>
      <charset val="238"/>
    </font>
    <font>
      <sz val="10"/>
      <name val="Arial"/>
      <family val="2"/>
      <charset val="238"/>
    </font>
    <font>
      <sz val="11"/>
      <name val="Clara Sans"/>
      <charset val="238"/>
    </font>
    <font>
      <b/>
      <sz val="11"/>
      <name val="Clara Sans"/>
      <charset val="238"/>
    </font>
    <font>
      <b/>
      <i/>
      <sz val="10"/>
      <name val="Clara Sans"/>
      <charset val="238"/>
    </font>
    <font>
      <b/>
      <i/>
      <sz val="8"/>
      <name val="Clara Sans"/>
      <charset val="238"/>
    </font>
    <font>
      <sz val="8"/>
      <name val="Clara Sans"/>
      <charset val="238"/>
    </font>
    <font>
      <i/>
      <sz val="8"/>
      <name val="Clara Sans"/>
      <charset val="238"/>
    </font>
    <font>
      <sz val="14"/>
      <name val="Clara Sans"/>
      <charset val="238"/>
    </font>
    <font>
      <sz val="10"/>
      <name val="Arial CE"/>
      <charset val="238"/>
    </font>
    <font>
      <sz val="9"/>
      <name val="Clara Sans"/>
      <charset val="238"/>
    </font>
    <font>
      <b/>
      <sz val="9"/>
      <name val="Clara Sans"/>
      <charset val="238"/>
    </font>
    <font>
      <b/>
      <i/>
      <sz val="7"/>
      <name val="Clara Sans"/>
      <charset val="238"/>
    </font>
    <font>
      <b/>
      <sz val="8"/>
      <name val="Clara Sans"/>
      <charset val="238"/>
    </font>
    <font>
      <i/>
      <sz val="7"/>
      <name val="Clara Sans"/>
      <charset val="238"/>
    </font>
    <font>
      <b/>
      <i/>
      <sz val="9"/>
      <name val="Clara Sans"/>
      <charset val="238"/>
    </font>
    <font>
      <b/>
      <i/>
      <u val="double"/>
      <sz val="8"/>
      <name val="Clara Sans"/>
      <charset val="238"/>
    </font>
    <font>
      <sz val="18"/>
      <name val="Clara Sans"/>
      <charset val="238"/>
    </font>
    <font>
      <sz val="7"/>
      <name val="Clara Sans"/>
      <charset val="238"/>
    </font>
    <font>
      <u/>
      <sz val="10"/>
      <color theme="10"/>
      <name val="Arial"/>
      <family val="2"/>
      <charset val="238"/>
    </font>
    <font>
      <b/>
      <sz val="14"/>
      <color rgb="FFE00034"/>
      <name val="Clara Sans"/>
      <charset val="238"/>
    </font>
    <font>
      <sz val="8"/>
      <color rgb="FFE00034"/>
      <name val="Clara Sans"/>
      <charset val="238"/>
    </font>
    <font>
      <sz val="9"/>
      <color theme="0"/>
      <name val="Clara Sans"/>
      <charset val="238"/>
    </font>
    <font>
      <sz val="12"/>
      <color rgb="FF939598"/>
      <name val="Clara Sans"/>
      <charset val="238"/>
    </font>
    <font>
      <sz val="11"/>
      <color rgb="FF000000"/>
      <name val="Clara Sans"/>
      <charset val="238"/>
    </font>
    <font>
      <b/>
      <sz val="11"/>
      <color rgb="FFE00034"/>
      <name val="Clara Sans"/>
      <charset val="238"/>
    </font>
    <font>
      <sz val="8"/>
      <color theme="1" tint="0.499984740745262"/>
      <name val="Clara Sans"/>
      <charset val="238"/>
    </font>
    <font>
      <sz val="14"/>
      <color rgb="FFE00034"/>
      <name val="Clara Sans"/>
      <charset val="238"/>
    </font>
    <font>
      <i/>
      <sz val="8"/>
      <color rgb="FFE00034"/>
      <name val="Clara Sans"/>
      <charset val="238"/>
    </font>
    <font>
      <i/>
      <sz val="8"/>
      <color rgb="FF939598"/>
      <name val="Clara Sans"/>
      <charset val="238"/>
    </font>
    <font>
      <i/>
      <sz val="8"/>
      <color theme="3"/>
      <name val="Clara Sans"/>
      <charset val="238"/>
    </font>
    <font>
      <sz val="10"/>
      <color rgb="FFE00034"/>
      <name val="Clara Sans"/>
      <charset val="238"/>
    </font>
    <font>
      <b/>
      <sz val="8"/>
      <color rgb="FFE00034"/>
      <name val="Clara Sans"/>
      <charset val="238"/>
    </font>
    <font>
      <sz val="11"/>
      <color rgb="FF595959"/>
      <name val="Clara Sans"/>
      <charset val="238"/>
    </font>
    <font>
      <b/>
      <sz val="20"/>
      <color rgb="FFE00034"/>
      <name val="Clara Sans"/>
      <charset val="238"/>
    </font>
    <font>
      <b/>
      <i/>
      <sz val="8"/>
      <color theme="3"/>
      <name val="Clara Sans"/>
      <charset val="238"/>
    </font>
    <font>
      <sz val="8"/>
      <color theme="3"/>
      <name val="Clara Sans"/>
      <charset val="238"/>
    </font>
    <font>
      <b/>
      <sz val="14"/>
      <color theme="0"/>
      <name val="Arial"/>
      <family val="2"/>
      <charset val="238"/>
    </font>
    <font>
      <b/>
      <sz val="14"/>
      <name val="Arial"/>
      <family val="2"/>
      <charset val="238"/>
    </font>
    <font>
      <b/>
      <vertAlign val="superscript"/>
      <sz val="14"/>
      <name val="Arial"/>
      <family val="2"/>
      <charset val="238"/>
    </font>
    <font>
      <sz val="9"/>
      <name val="Clara Serif"/>
      <charset val="238"/>
    </font>
    <font>
      <sz val="8"/>
      <name val="Arial"/>
      <family val="2"/>
      <charset val="238"/>
    </font>
    <font>
      <b/>
      <sz val="6"/>
      <color rgb="FFE00034"/>
      <name val="Clara Sans"/>
      <charset val="238"/>
    </font>
    <font>
      <b/>
      <sz val="7"/>
      <color rgb="FFE00034"/>
      <name val="Clara Sans"/>
      <charset val="238"/>
    </font>
    <font>
      <sz val="6"/>
      <name val="Clara Sans"/>
      <charset val="238"/>
    </font>
    <font>
      <sz val="5"/>
      <name val="Clara Sans"/>
      <charset val="238"/>
    </font>
    <font>
      <b/>
      <sz val="8"/>
      <color theme="1"/>
      <name val="Clara Sans"/>
      <charset val="238"/>
    </font>
    <font>
      <sz val="8"/>
      <color theme="1"/>
      <name val="Clara Sans"/>
      <charset val="238"/>
    </font>
    <font>
      <sz val="8"/>
      <color theme="1"/>
      <name val="Arial"/>
      <family val="2"/>
      <charset val="238"/>
    </font>
    <font>
      <i/>
      <sz val="9"/>
      <name val="Clara Sans"/>
      <charset val="238"/>
    </font>
    <font>
      <sz val="7"/>
      <color theme="1" tint="0.499984740745262"/>
      <name val="Clara Sans"/>
      <charset val="238"/>
    </font>
    <font>
      <b/>
      <u/>
      <sz val="8"/>
      <name val="Clara Sans"/>
      <charset val="238"/>
    </font>
    <font>
      <b/>
      <i/>
      <u/>
      <sz val="8"/>
      <name val="Clara Sans"/>
      <charset val="238"/>
    </font>
    <font>
      <b/>
      <sz val="10"/>
      <name val="Clara Sans"/>
      <charset val="238"/>
    </font>
    <font>
      <sz val="10"/>
      <name val="Arial"/>
      <family val="2"/>
      <charset val="238"/>
    </font>
    <font>
      <sz val="10"/>
      <color theme="1" tint="0.499984740745262"/>
      <name val="Clara Sans"/>
      <charset val="238"/>
    </font>
    <font>
      <sz val="7"/>
      <color rgb="FFC00000"/>
      <name val="Clara Sans"/>
      <charset val="238"/>
    </font>
    <font>
      <sz val="7"/>
      <color theme="5" tint="-0.249977111117893"/>
      <name val="Clara Sans"/>
      <charset val="238"/>
    </font>
    <font>
      <sz val="7"/>
      <color rgb="FF00B050"/>
      <name val="Clara Sans"/>
      <charset val="238"/>
    </font>
    <font>
      <b/>
      <i/>
      <u/>
      <sz val="7"/>
      <name val="Clara Sans"/>
      <charset val="238"/>
    </font>
    <font>
      <sz val="10"/>
      <color rgb="FFFF0000"/>
      <name val="Clara Sans"/>
      <charset val="238"/>
    </font>
    <font>
      <b/>
      <sz val="8"/>
      <color rgb="FFFF0000"/>
      <name val="Clara Sans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Clara Sans"/>
      <charset val="238"/>
    </font>
    <font>
      <sz val="9"/>
      <name val="Calibri"/>
      <family val="2"/>
      <charset val="238"/>
      <scheme val="minor"/>
    </font>
    <font>
      <sz val="10"/>
      <color theme="4"/>
      <name val="Clara Sans"/>
      <charset val="238"/>
    </font>
    <font>
      <sz val="10"/>
      <color theme="4"/>
      <name val="Arial"/>
      <family val="2"/>
      <charset val="238"/>
    </font>
    <font>
      <sz val="10"/>
      <color theme="3"/>
      <name val="Clara Sans"/>
      <charset val="238"/>
    </font>
    <font>
      <sz val="12"/>
      <name val="Clara Sans"/>
      <charset val="238"/>
    </font>
    <font>
      <b/>
      <sz val="10"/>
      <color theme="1"/>
      <name val="Clara Sans"/>
      <charset val="238"/>
    </font>
    <font>
      <sz val="10"/>
      <color theme="1"/>
      <name val="Clara Sans"/>
      <charset val="238"/>
    </font>
    <font>
      <sz val="10"/>
      <name val="Calibri"/>
      <family val="2"/>
      <charset val="238"/>
      <scheme val="minor"/>
    </font>
    <font>
      <b/>
      <u/>
      <sz val="9"/>
      <name val="Clara Sans"/>
      <charset val="238"/>
    </font>
    <font>
      <b/>
      <i/>
      <u/>
      <sz val="9"/>
      <name val="Clara Sans"/>
      <charset val="238"/>
    </font>
    <font>
      <b/>
      <i/>
      <u val="double"/>
      <sz val="9"/>
      <name val="Clara Sans"/>
      <charset val="238"/>
    </font>
    <font>
      <sz val="9"/>
      <color theme="1" tint="0.499984740745262"/>
      <name val="Clara Sans"/>
      <charset val="238"/>
    </font>
    <font>
      <b/>
      <u val="double"/>
      <sz val="8"/>
      <name val="Clara Sans"/>
      <charset val="238"/>
    </font>
    <font>
      <u/>
      <sz val="8"/>
      <name val="Clara Sans"/>
      <charset val="238"/>
    </font>
    <font>
      <i/>
      <u/>
      <sz val="8"/>
      <name val="Clara Sans"/>
      <charset val="238"/>
    </font>
    <font>
      <u val="double"/>
      <sz val="8"/>
      <name val="Clara Sans"/>
      <charset val="238"/>
    </font>
    <font>
      <b/>
      <sz val="7.5"/>
      <name val="Clara Sans"/>
      <charset val="238"/>
    </font>
    <font>
      <b/>
      <u/>
      <sz val="7.5"/>
      <name val="Clara Sans"/>
      <charset val="238"/>
    </font>
    <font>
      <b/>
      <i/>
      <sz val="7.5"/>
      <name val="Clara Sans"/>
      <charset val="238"/>
    </font>
    <font>
      <b/>
      <i/>
      <u/>
      <sz val="7.5"/>
      <name val="Clara Sans"/>
      <charset val="238"/>
    </font>
    <font>
      <b/>
      <u val="double"/>
      <sz val="7.5"/>
      <name val="Clara Sans"/>
      <charset val="238"/>
    </font>
    <font>
      <sz val="7.5"/>
      <name val="Clara Sans"/>
      <charset val="238"/>
    </font>
    <font>
      <u/>
      <sz val="7.5"/>
      <name val="Clara Sans"/>
      <charset val="238"/>
    </font>
    <font>
      <i/>
      <sz val="7.5"/>
      <name val="Clara Sans"/>
      <charset val="238"/>
    </font>
    <font>
      <i/>
      <u/>
      <sz val="7.5"/>
      <name val="Clara Sans"/>
      <charset val="238"/>
    </font>
    <font>
      <u val="double"/>
      <sz val="7.5"/>
      <name val="Clara Sans"/>
      <charset val="238"/>
    </font>
    <font>
      <b/>
      <i/>
      <u val="double"/>
      <sz val="7.5"/>
      <name val="Clara Sans"/>
      <charset val="238"/>
    </font>
    <font>
      <i/>
      <sz val="9.5"/>
      <name val="Clara Sans"/>
      <charset val="238"/>
    </font>
    <font>
      <sz val="10"/>
      <color theme="3"/>
      <name val="Calibri"/>
      <family val="2"/>
      <charset val="238"/>
      <scheme val="minor"/>
    </font>
    <font>
      <b/>
      <sz val="10"/>
      <color rgb="FFFF0000"/>
      <name val="Clara Sans"/>
      <charset val="238"/>
    </font>
    <font>
      <i/>
      <sz val="10"/>
      <name val="Clara Sans"/>
      <charset val="238"/>
    </font>
    <font>
      <b/>
      <i/>
      <sz val="10"/>
      <color theme="1"/>
      <name val="Clara Sans"/>
      <charset val="238"/>
    </font>
    <font>
      <i/>
      <sz val="10"/>
      <color theme="1"/>
      <name val="Clara Sans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rgb="FFE00034"/>
      <name val="Clara Sans"/>
      <charset val="238"/>
    </font>
    <font>
      <b/>
      <sz val="10"/>
      <color rgb="FFE00034"/>
      <name val="Clara Sans"/>
      <charset val="238"/>
    </font>
    <font>
      <i/>
      <sz val="11"/>
      <color rgb="FFE00034"/>
      <name val="Clara Sans"/>
      <charset val="238"/>
    </font>
    <font>
      <sz val="9"/>
      <name val="Segoe UI"/>
      <family val="2"/>
      <charset val="238"/>
    </font>
    <font>
      <sz val="8"/>
      <name val="Arial Narrow"/>
      <family val="2"/>
      <charset val="238"/>
    </font>
    <font>
      <sz val="6"/>
      <color rgb="FFFF0000"/>
      <name val="Clara Sans"/>
      <charset val="238"/>
    </font>
    <font>
      <sz val="10"/>
      <name val="Clara Sans"/>
      <family val="3"/>
    </font>
    <font>
      <sz val="10"/>
      <color theme="1"/>
      <name val="Clara Sans"/>
      <family val="3"/>
    </font>
    <font>
      <b/>
      <sz val="11"/>
      <color rgb="FFE00034"/>
      <name val="Clara Sans"/>
      <family val="3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D9E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0FFE8"/>
        <bgColor indexed="64"/>
      </patternFill>
    </fill>
    <fill>
      <patternFill patternType="solid">
        <fgColor rgb="FFFFE7C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ck">
        <color theme="2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2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2" tint="-0.499984740745262"/>
      </bottom>
      <diagonal/>
    </border>
    <border>
      <left style="thin">
        <color theme="0" tint="-0.34998626667073579"/>
      </left>
      <right/>
      <top/>
      <bottom style="thick">
        <color theme="2" tint="-0.499984740745262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2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ck">
        <color theme="2" tint="-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ck">
        <color theme="2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ck">
        <color rgb="FFE00034"/>
      </right>
      <top/>
      <bottom/>
      <diagonal/>
    </border>
    <border>
      <left style="thick">
        <color rgb="FFE00034"/>
      </left>
      <right style="thick">
        <color rgb="FFE00034"/>
      </right>
      <top style="thick">
        <color rgb="FFE00034"/>
      </top>
      <bottom style="thick">
        <color rgb="FFE00034"/>
      </bottom>
      <diagonal/>
    </border>
    <border>
      <left/>
      <right/>
      <top style="thick">
        <color theme="2" tint="-0.499984740745262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0.89996032593768116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89996032593768116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89996032593768116"/>
      </left>
      <right style="thin">
        <color theme="0" tint="-0.34998626667073579"/>
      </right>
      <top/>
      <bottom/>
      <diagonal/>
    </border>
    <border>
      <left style="thin">
        <color rgb="FF59595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59595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595959"/>
      </left>
      <right style="thin">
        <color theme="0" tint="-0.34998626667073579"/>
      </right>
      <top/>
      <bottom/>
      <diagonal/>
    </border>
    <border>
      <left/>
      <right style="thin">
        <color rgb="FF59595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theme="1" tint="0.24994659260841701"/>
      </right>
      <top/>
      <bottom/>
      <diagonal/>
    </border>
    <border>
      <left/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9.9948118533890809E-2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2">
    <xf numFmtId="0" fontId="0" fillId="0" borderId="0"/>
    <xf numFmtId="0" fontId="22" fillId="0" borderId="0" applyNumberForma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2" fillId="0" borderId="0"/>
    <xf numFmtId="43" fontId="57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616">
    <xf numFmtId="0" fontId="0" fillId="0" borderId="0" xfId="0"/>
    <xf numFmtId="0" fontId="3" fillId="2" borderId="0" xfId="0" applyFont="1" applyFill="1" applyProtection="1">
      <protection hidden="1"/>
    </xf>
    <xf numFmtId="0" fontId="3" fillId="4" borderId="0" xfId="0" applyFont="1" applyFill="1" applyProtection="1">
      <protection hidden="1"/>
    </xf>
    <xf numFmtId="49" fontId="23" fillId="4" borderId="0" xfId="0" applyNumberFormat="1" applyFont="1" applyFill="1" applyAlignment="1" applyProtection="1">
      <alignment horizontal="right" vertical="center" wrapText="1"/>
      <protection hidden="1"/>
    </xf>
    <xf numFmtId="0" fontId="24" fillId="4" borderId="0" xfId="0" applyFont="1" applyFill="1" applyAlignment="1" applyProtection="1">
      <alignment vertical="top" wrapText="1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protection hidden="1"/>
    </xf>
    <xf numFmtId="0" fontId="26" fillId="4" borderId="0" xfId="0" applyFont="1" applyFill="1" applyAlignment="1" applyProtection="1">
      <alignment vertical="center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vertical="top"/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13" fillId="2" borderId="0" xfId="0" applyFont="1" applyFill="1" applyAlignment="1" applyProtection="1">
      <alignment vertical="top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49" fontId="11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0" fontId="18" fillId="3" borderId="5" xfId="0" applyFont="1" applyFill="1" applyBorder="1" applyAlignment="1" applyProtection="1">
      <alignment vertical="center" wrapText="1"/>
      <protection hidden="1"/>
    </xf>
    <xf numFmtId="0" fontId="13" fillId="3" borderId="5" xfId="0" applyFont="1" applyFill="1" applyBorder="1" applyAlignment="1" applyProtection="1">
      <alignment horizontal="right" vertical="center" wrapText="1"/>
      <protection hidden="1"/>
    </xf>
    <xf numFmtId="0" fontId="13" fillId="3" borderId="5" xfId="0" applyFont="1" applyFill="1" applyBorder="1" applyAlignment="1" applyProtection="1">
      <alignment horizontal="right" vertical="center"/>
      <protection hidden="1"/>
    </xf>
    <xf numFmtId="0" fontId="7" fillId="3" borderId="5" xfId="0" applyFont="1" applyFill="1" applyBorder="1" applyAlignment="1" applyProtection="1">
      <alignment vertical="center"/>
      <protection hidden="1"/>
    </xf>
    <xf numFmtId="0" fontId="13" fillId="3" borderId="5" xfId="0" applyFont="1" applyFill="1" applyBorder="1" applyAlignment="1" applyProtection="1">
      <alignment vertical="center" wrapText="1"/>
      <protection hidden="1"/>
    </xf>
    <xf numFmtId="0" fontId="11" fillId="6" borderId="5" xfId="0" applyFont="1" applyFill="1" applyBorder="1" applyAlignment="1" applyProtection="1">
      <alignment horizontal="center" vertical="center" wrapText="1"/>
      <protection hidden="1"/>
    </xf>
    <xf numFmtId="0" fontId="27" fillId="6" borderId="8" xfId="0" applyFont="1" applyFill="1" applyBorder="1" applyAlignment="1" applyProtection="1">
      <alignment vertical="center" wrapText="1"/>
      <protection hidden="1"/>
    </xf>
    <xf numFmtId="0" fontId="28" fillId="4" borderId="9" xfId="0" applyFont="1" applyFill="1" applyBorder="1" applyAlignment="1" applyProtection="1">
      <alignment vertical="center" wrapText="1"/>
      <protection hidden="1"/>
    </xf>
    <xf numFmtId="0" fontId="3" fillId="4" borderId="10" xfId="0" applyFont="1" applyFill="1" applyBorder="1" applyProtection="1">
      <protection hidden="1"/>
    </xf>
    <xf numFmtId="0" fontId="29" fillId="4" borderId="10" xfId="0" applyFont="1" applyFill="1" applyBorder="1" applyProtection="1">
      <protection hidden="1"/>
    </xf>
    <xf numFmtId="0" fontId="30" fillId="7" borderId="12" xfId="0" applyFont="1" applyFill="1" applyBorder="1" applyAlignment="1" applyProtection="1">
      <alignment vertical="center" wrapText="1"/>
      <protection hidden="1"/>
    </xf>
    <xf numFmtId="1" fontId="28" fillId="4" borderId="9" xfId="0" applyNumberFormat="1" applyFont="1" applyFill="1" applyBorder="1" applyAlignment="1" applyProtection="1">
      <alignment horizontal="center" vertical="center" wrapText="1"/>
      <protection hidden="1"/>
    </xf>
    <xf numFmtId="1" fontId="28" fillId="4" borderId="9" xfId="0" applyNumberFormat="1" applyFont="1" applyFill="1" applyBorder="1" applyAlignment="1" applyProtection="1">
      <alignment horizontal="left" vertical="center" wrapText="1"/>
      <protection hidden="1"/>
    </xf>
    <xf numFmtId="0" fontId="6" fillId="6" borderId="13" xfId="0" applyFont="1" applyFill="1" applyBorder="1" applyAlignment="1" applyProtection="1">
      <alignment vertical="center" wrapText="1"/>
      <protection hidden="1"/>
    </xf>
    <xf numFmtId="49" fontId="37" fillId="2" borderId="29" xfId="0" applyNumberFormat="1" applyFont="1" applyFill="1" applyBorder="1" applyAlignment="1" applyProtection="1">
      <alignment horizontal="center" vertical="center" wrapText="1"/>
      <protection locked="0" hidden="1"/>
    </xf>
    <xf numFmtId="1" fontId="28" fillId="4" borderId="9" xfId="0" applyNumberFormat="1" applyFont="1" applyFill="1" applyBorder="1" applyAlignment="1" applyProtection="1">
      <alignment vertical="center"/>
      <protection hidden="1"/>
    </xf>
    <xf numFmtId="164" fontId="3" fillId="2" borderId="0" xfId="0" applyNumberFormat="1" applyFont="1" applyFill="1" applyProtection="1"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8" fillId="3" borderId="6" xfId="0" applyFont="1" applyFill="1" applyBorder="1" applyAlignment="1" applyProtection="1">
      <alignment vertical="center" wrapText="1"/>
      <protection hidden="1"/>
    </xf>
    <xf numFmtId="0" fontId="3" fillId="3" borderId="6" xfId="0" applyFont="1" applyFill="1" applyBorder="1" applyAlignment="1" applyProtection="1">
      <alignment vertical="center" wrapText="1"/>
      <protection hidden="1"/>
    </xf>
    <xf numFmtId="0" fontId="3" fillId="3" borderId="6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right" vertical="center" wrapText="1"/>
      <protection hidden="1"/>
    </xf>
    <xf numFmtId="0" fontId="9" fillId="3" borderId="6" xfId="0" applyFont="1" applyFill="1" applyBorder="1" applyAlignment="1" applyProtection="1">
      <alignment horizontal="right" vertical="center"/>
      <protection hidden="1"/>
    </xf>
    <xf numFmtId="0" fontId="7" fillId="3" borderId="6" xfId="0" applyFont="1" applyFill="1" applyBorder="1" applyAlignment="1" applyProtection="1">
      <alignment vertical="center"/>
      <protection hidden="1"/>
    </xf>
    <xf numFmtId="0" fontId="13" fillId="3" borderId="6" xfId="0" applyFont="1" applyFill="1" applyBorder="1" applyAlignment="1" applyProtection="1">
      <alignment vertical="center" wrapText="1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vertical="center"/>
      <protection hidden="1"/>
    </xf>
    <xf numFmtId="0" fontId="21" fillId="2" borderId="0" xfId="0" applyFont="1" applyFill="1" applyProtection="1">
      <protection hidden="1"/>
    </xf>
    <xf numFmtId="164" fontId="21" fillId="2" borderId="0" xfId="0" applyNumberFormat="1" applyFont="1" applyFill="1" applyProtection="1"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5" fillId="4" borderId="6" xfId="0" applyFont="1" applyFill="1" applyBorder="1" applyAlignment="1" applyProtection="1">
      <alignment horizontal="center" vertical="center" wrapText="1"/>
      <protection hidden="1"/>
    </xf>
    <xf numFmtId="4" fontId="9" fillId="0" borderId="6" xfId="0" applyNumberFormat="1" applyFont="1" applyBorder="1" applyAlignment="1" applyProtection="1">
      <alignment horizontal="center" vertical="center" wrapText="1"/>
      <protection locked="0"/>
    </xf>
    <xf numFmtId="0" fontId="39" fillId="6" borderId="11" xfId="0" applyFont="1" applyFill="1" applyBorder="1" applyAlignment="1" applyProtection="1">
      <alignment horizontal="right" vertical="top" wrapText="1"/>
      <protection hidden="1"/>
    </xf>
    <xf numFmtId="0" fontId="0" fillId="0" borderId="0" xfId="0" applyProtection="1">
      <protection hidden="1"/>
    </xf>
    <xf numFmtId="0" fontId="8" fillId="3" borderId="6" xfId="0" applyFont="1" applyFill="1" applyBorder="1" applyAlignment="1" applyProtection="1">
      <alignment horizontal="left" vertical="center" wrapText="1"/>
      <protection hidden="1"/>
    </xf>
    <xf numFmtId="0" fontId="21" fillId="3" borderId="6" xfId="0" applyFont="1" applyFill="1" applyBorder="1" applyAlignment="1" applyProtection="1">
      <alignment horizontal="left" vertical="center" wrapText="1"/>
      <protection hidden="1"/>
    </xf>
    <xf numFmtId="0" fontId="21" fillId="3" borderId="6" xfId="0" applyFont="1" applyFill="1" applyBorder="1" applyAlignment="1" applyProtection="1">
      <alignment horizontal="left" vertical="center"/>
      <protection hidden="1"/>
    </xf>
    <xf numFmtId="17" fontId="3" fillId="2" borderId="0" xfId="0" applyNumberFormat="1" applyFont="1" applyFill="1" applyProtection="1">
      <protection hidden="1"/>
    </xf>
    <xf numFmtId="0" fontId="14" fillId="3" borderId="2" xfId="3" applyFont="1" applyFill="1" applyBorder="1" applyAlignment="1" applyProtection="1">
      <alignment horizontal="center" vertical="center" wrapText="1"/>
      <protection hidden="1"/>
    </xf>
    <xf numFmtId="3" fontId="13" fillId="0" borderId="1" xfId="4" applyNumberFormat="1" applyFont="1" applyBorder="1" applyAlignment="1" applyProtection="1">
      <alignment horizontal="left" vertical="top" wrapText="1"/>
      <protection hidden="1"/>
    </xf>
    <xf numFmtId="0" fontId="9" fillId="0" borderId="3" xfId="0" applyFont="1" applyBorder="1" applyAlignment="1" applyProtection="1">
      <alignment vertical="center" wrapText="1"/>
      <protection hidden="1"/>
    </xf>
    <xf numFmtId="0" fontId="40" fillId="0" borderId="0" xfId="0" applyFont="1"/>
    <xf numFmtId="0" fontId="40" fillId="0" borderId="0" xfId="0" applyFont="1" applyAlignment="1">
      <alignment vertical="top"/>
    </xf>
    <xf numFmtId="0" fontId="43" fillId="0" borderId="0" xfId="0" applyFont="1" applyAlignment="1">
      <alignment horizontal="justify" vertical="center"/>
    </xf>
    <xf numFmtId="0" fontId="0" fillId="0" borderId="0" xfId="0" applyAlignment="1">
      <alignment vertical="top"/>
    </xf>
    <xf numFmtId="0" fontId="47" fillId="0" borderId="31" xfId="0" applyFont="1" applyBorder="1" applyAlignment="1">
      <alignment vertical="top" wrapText="1"/>
    </xf>
    <xf numFmtId="0" fontId="48" fillId="0" borderId="31" xfId="0" applyFont="1" applyBorder="1" applyAlignment="1">
      <alignment vertical="center" wrapText="1"/>
    </xf>
    <xf numFmtId="0" fontId="47" fillId="10" borderId="31" xfId="0" applyFont="1" applyFill="1" applyBorder="1" applyAlignment="1">
      <alignment horizontal="right" vertical="center" wrapText="1"/>
    </xf>
    <xf numFmtId="0" fontId="47" fillId="13" borderId="31" xfId="0" applyFont="1" applyFill="1" applyBorder="1" applyAlignment="1">
      <alignment horizontal="right" vertical="center" wrapText="1"/>
    </xf>
    <xf numFmtId="0" fontId="0" fillId="10" borderId="0" xfId="0" applyFill="1"/>
    <xf numFmtId="0" fontId="0" fillId="12" borderId="0" xfId="0" applyFill="1"/>
    <xf numFmtId="0" fontId="0" fillId="13" borderId="0" xfId="0" applyFill="1"/>
    <xf numFmtId="0" fontId="49" fillId="9" borderId="1" xfId="5" applyFont="1" applyFill="1" applyBorder="1" applyAlignment="1">
      <alignment horizontal="center" vertical="center" wrapText="1"/>
    </xf>
    <xf numFmtId="0" fontId="49" fillId="9" borderId="1" xfId="5" applyFont="1" applyFill="1" applyBorder="1" applyAlignment="1">
      <alignment horizontal="left" vertical="center" wrapText="1"/>
    </xf>
    <xf numFmtId="0" fontId="49" fillId="15" borderId="1" xfId="5" applyFont="1" applyFill="1" applyBorder="1" applyAlignment="1">
      <alignment horizontal="right" vertical="center" wrapText="1"/>
    </xf>
    <xf numFmtId="3" fontId="49" fillId="15" borderId="1" xfId="5" applyNumberFormat="1" applyFont="1" applyFill="1" applyBorder="1" applyAlignment="1">
      <alignment horizontal="right" vertical="center" wrapText="1"/>
    </xf>
    <xf numFmtId="49" fontId="9" fillId="0" borderId="3" xfId="0" applyNumberFormat="1" applyFont="1" applyBorder="1" applyAlignment="1" applyProtection="1">
      <alignment vertical="center" wrapText="1"/>
      <protection hidden="1"/>
    </xf>
    <xf numFmtId="0" fontId="3" fillId="0" borderId="1" xfId="0" applyFont="1" applyBorder="1" applyAlignment="1">
      <alignment vertical="top" wrapText="1"/>
    </xf>
    <xf numFmtId="0" fontId="3" fillId="0" borderId="1" xfId="5" applyFont="1" applyBorder="1" applyAlignment="1">
      <alignment vertical="top" wrapText="1"/>
    </xf>
    <xf numFmtId="0" fontId="47" fillId="5" borderId="31" xfId="0" applyFont="1" applyFill="1" applyBorder="1" applyAlignment="1">
      <alignment vertical="center" wrapText="1"/>
    </xf>
    <xf numFmtId="49" fontId="0" fillId="0" borderId="0" xfId="0" applyNumberFormat="1"/>
    <xf numFmtId="0" fontId="0" fillId="5" borderId="0" xfId="0" applyFill="1" applyProtection="1">
      <protection hidden="1"/>
    </xf>
    <xf numFmtId="3" fontId="13" fillId="0" borderId="0" xfId="4" applyNumberFormat="1" applyFont="1" applyAlignment="1" applyProtection="1">
      <alignment horizontal="left" vertical="top" wrapText="1"/>
      <protection hidden="1"/>
    </xf>
    <xf numFmtId="0" fontId="51" fillId="5" borderId="0" xfId="0" applyFont="1" applyFill="1" applyAlignment="1">
      <alignment vertical="center"/>
    </xf>
    <xf numFmtId="0" fontId="47" fillId="5" borderId="34" xfId="0" applyFont="1" applyFill="1" applyBorder="1" applyAlignment="1">
      <alignment vertical="center" wrapText="1"/>
    </xf>
    <xf numFmtId="0" fontId="47" fillId="10" borderId="34" xfId="0" applyFont="1" applyFill="1" applyBorder="1" applyAlignment="1">
      <alignment horizontal="right" vertical="center" wrapText="1"/>
    </xf>
    <xf numFmtId="0" fontId="51" fillId="5" borderId="32" xfId="0" applyFont="1" applyFill="1" applyBorder="1" applyAlignment="1">
      <alignment vertical="center" textRotation="90"/>
    </xf>
    <xf numFmtId="0" fontId="51" fillId="5" borderId="36" xfId="0" applyFont="1" applyFill="1" applyBorder="1" applyAlignment="1">
      <alignment vertical="center" textRotation="90"/>
    </xf>
    <xf numFmtId="0" fontId="51" fillId="5" borderId="31" xfId="0" applyFont="1" applyFill="1" applyBorder="1" applyAlignment="1">
      <alignment vertical="center" textRotation="90"/>
    </xf>
    <xf numFmtId="0" fontId="0" fillId="0" borderId="31" xfId="0" applyBorder="1" applyAlignment="1">
      <alignment vertical="top" wrapText="1"/>
    </xf>
    <xf numFmtId="164" fontId="3" fillId="4" borderId="22" xfId="0" applyNumberFormat="1" applyFont="1" applyFill="1" applyBorder="1" applyAlignment="1" applyProtection="1">
      <alignment horizontal="left" vertical="center"/>
      <protection hidden="1"/>
    </xf>
    <xf numFmtId="164" fontId="5" fillId="4" borderId="11" xfId="0" applyNumberFormat="1" applyFont="1" applyFill="1" applyBorder="1" applyAlignment="1" applyProtection="1">
      <alignment vertical="center" wrapText="1"/>
      <protection hidden="1"/>
    </xf>
    <xf numFmtId="4" fontId="9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45" fillId="0" borderId="31" xfId="0" applyNumberFormat="1" applyFont="1" applyBorder="1" applyAlignment="1">
      <alignment vertical="center" textRotation="90" wrapText="1"/>
    </xf>
    <xf numFmtId="49" fontId="46" fillId="0" borderId="35" xfId="0" applyNumberFormat="1" applyFont="1" applyBorder="1" applyAlignment="1">
      <alignment horizontal="center" vertical="center" wrapText="1"/>
    </xf>
    <xf numFmtId="49" fontId="46" fillId="0" borderId="33" xfId="0" applyNumberFormat="1" applyFont="1" applyBorder="1" applyAlignment="1">
      <alignment horizontal="center" vertical="center" wrapText="1"/>
    </xf>
    <xf numFmtId="49" fontId="46" fillId="0" borderId="33" xfId="0" applyNumberFormat="1" applyFont="1" applyBorder="1" applyAlignment="1">
      <alignment vertical="top" wrapText="1"/>
    </xf>
    <xf numFmtId="49" fontId="45" fillId="0" borderId="33" xfId="0" applyNumberFormat="1" applyFont="1" applyBorder="1" applyAlignment="1">
      <alignment vertical="center" wrapText="1"/>
    </xf>
    <xf numFmtId="49" fontId="45" fillId="10" borderId="33" xfId="0" applyNumberFormat="1" applyFont="1" applyFill="1" applyBorder="1" applyAlignment="1">
      <alignment vertical="center" wrapText="1"/>
    </xf>
    <xf numFmtId="0" fontId="29" fillId="4" borderId="0" xfId="0" applyFont="1" applyFill="1" applyAlignment="1" applyProtection="1">
      <alignment wrapText="1"/>
      <protection hidden="1"/>
    </xf>
    <xf numFmtId="49" fontId="16" fillId="0" borderId="3" xfId="0" applyNumberFormat="1" applyFont="1" applyBorder="1" applyAlignment="1" applyProtection="1">
      <alignment vertical="center" wrapText="1"/>
      <protection hidden="1"/>
    </xf>
    <xf numFmtId="0" fontId="16" fillId="0" borderId="3" xfId="0" applyFont="1" applyBorder="1" applyAlignment="1" applyProtection="1">
      <alignment vertical="center" wrapText="1"/>
      <protection hidden="1"/>
    </xf>
    <xf numFmtId="3" fontId="14" fillId="0" borderId="1" xfId="4" applyNumberFormat="1" applyFont="1" applyBorder="1" applyAlignment="1" applyProtection="1">
      <alignment horizontal="left" vertical="top" wrapText="1"/>
      <protection hidden="1"/>
    </xf>
    <xf numFmtId="3" fontId="14" fillId="5" borderId="1" xfId="4" applyNumberFormat="1" applyFont="1" applyFill="1" applyBorder="1" applyAlignment="1" applyProtection="1">
      <alignment horizontal="left" vertical="top" wrapText="1"/>
      <protection hidden="1"/>
    </xf>
    <xf numFmtId="0" fontId="11" fillId="4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3" fontId="3" fillId="5" borderId="0" xfId="0" applyNumberFormat="1" applyFont="1" applyFill="1" applyProtection="1">
      <protection hidden="1"/>
    </xf>
    <xf numFmtId="165" fontId="29" fillId="4" borderId="0" xfId="6" applyNumberFormat="1" applyFont="1" applyFill="1" applyBorder="1" applyAlignment="1" applyProtection="1">
      <alignment wrapText="1"/>
      <protection hidden="1"/>
    </xf>
    <xf numFmtId="165" fontId="39" fillId="13" borderId="10" xfId="6" applyNumberFormat="1" applyFont="1" applyFill="1" applyBorder="1" applyAlignment="1" applyProtection="1">
      <alignment wrapText="1"/>
      <protection hidden="1"/>
    </xf>
    <xf numFmtId="0" fontId="58" fillId="4" borderId="0" xfId="0" applyFont="1" applyFill="1" applyProtection="1">
      <protection hidden="1"/>
    </xf>
    <xf numFmtId="0" fontId="3" fillId="4" borderId="13" xfId="0" applyFont="1" applyFill="1" applyBorder="1" applyProtection="1">
      <protection hidden="1"/>
    </xf>
    <xf numFmtId="0" fontId="65" fillId="5" borderId="0" xfId="0" applyFont="1" applyFill="1" applyProtection="1">
      <protection hidden="1"/>
    </xf>
    <xf numFmtId="0" fontId="64" fillId="16" borderId="1" xfId="5" applyFont="1" applyFill="1" applyBorder="1" applyAlignment="1">
      <alignment horizontal="right" vertical="center" wrapText="1"/>
    </xf>
    <xf numFmtId="3" fontId="64" fillId="16" borderId="1" xfId="5" applyNumberFormat="1" applyFont="1" applyFill="1" applyBorder="1" applyAlignment="1">
      <alignment horizontal="right" vertical="center" wrapText="1"/>
    </xf>
    <xf numFmtId="0" fontId="66" fillId="3" borderId="2" xfId="3" applyFont="1" applyFill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22" fillId="0" borderId="0" xfId="1"/>
    <xf numFmtId="0" fontId="22" fillId="0" borderId="0" xfId="1" applyAlignment="1">
      <alignment vertical="center" wrapText="1"/>
    </xf>
    <xf numFmtId="0" fontId="47" fillId="0" borderId="31" xfId="0" applyFont="1" applyBorder="1" applyAlignment="1">
      <alignment vertical="center" wrapText="1"/>
    </xf>
    <xf numFmtId="0" fontId="47" fillId="5" borderId="37" xfId="0" applyFont="1" applyFill="1" applyBorder="1" applyAlignment="1">
      <alignment vertical="center" wrapText="1"/>
    </xf>
    <xf numFmtId="0" fontId="68" fillId="2" borderId="0" xfId="0" applyFont="1" applyFill="1" applyProtection="1">
      <protection hidden="1"/>
    </xf>
    <xf numFmtId="0" fontId="69" fillId="0" borderId="0" xfId="0" applyFont="1" applyProtection="1">
      <protection hidden="1"/>
    </xf>
    <xf numFmtId="3" fontId="73" fillId="0" borderId="1" xfId="5" applyNumberFormat="1" applyFont="1" applyBorder="1" applyAlignment="1">
      <alignment horizontal="right" vertical="center" wrapText="1"/>
    </xf>
    <xf numFmtId="3" fontId="73" fillId="4" borderId="1" xfId="5" applyNumberFormat="1" applyFont="1" applyFill="1" applyBorder="1" applyAlignment="1">
      <alignment horizontal="right" vertical="center" wrapText="1"/>
    </xf>
    <xf numFmtId="3" fontId="72" fillId="4" borderId="1" xfId="5" applyNumberFormat="1" applyFont="1" applyFill="1" applyBorder="1" applyAlignment="1">
      <alignment horizontal="right" vertical="center" wrapText="1"/>
    </xf>
    <xf numFmtId="49" fontId="3" fillId="0" borderId="1" xfId="4" applyNumberFormat="1" applyFont="1" applyBorder="1" applyAlignment="1" applyProtection="1">
      <alignment horizontal="left" vertical="top" wrapText="1"/>
      <protection hidden="1"/>
    </xf>
    <xf numFmtId="0" fontId="9" fillId="4" borderId="6" xfId="0" applyFont="1" applyFill="1" applyBorder="1" applyAlignment="1" applyProtection="1">
      <alignment horizontal="left" vertical="center" wrapText="1"/>
      <protection hidden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4" fontId="49" fillId="0" borderId="1" xfId="5" applyNumberFormat="1" applyFont="1" applyBorder="1" applyAlignment="1">
      <alignment horizontal="right" vertical="center" wrapText="1"/>
    </xf>
    <xf numFmtId="4" fontId="50" fillId="0" borderId="1" xfId="5" applyNumberFormat="1" applyFont="1" applyBorder="1" applyAlignment="1">
      <alignment horizontal="right" vertical="center" wrapText="1"/>
    </xf>
    <xf numFmtId="0" fontId="18" fillId="4" borderId="6" xfId="0" applyFont="1" applyFill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left" vertical="center" wrapText="1"/>
      <protection hidden="1"/>
    </xf>
    <xf numFmtId="4" fontId="13" fillId="4" borderId="6" xfId="0" applyNumberFormat="1" applyFont="1" applyFill="1" applyBorder="1" applyAlignment="1" applyProtection="1">
      <alignment horizontal="center" vertical="center" wrapText="1"/>
      <protection hidden="1"/>
    </xf>
    <xf numFmtId="4" fontId="49" fillId="18" borderId="1" xfId="5" applyNumberFormat="1" applyFont="1" applyFill="1" applyBorder="1" applyAlignment="1">
      <alignment horizontal="right" vertical="center" wrapText="1"/>
    </xf>
    <xf numFmtId="4" fontId="16" fillId="0" borderId="1" xfId="5" applyNumberFormat="1" applyFont="1" applyBorder="1" applyAlignment="1">
      <alignment horizontal="right" vertical="center" wrapText="1"/>
    </xf>
    <xf numFmtId="4" fontId="50" fillId="18" borderId="1" xfId="5" applyNumberFormat="1" applyFont="1" applyFill="1" applyBorder="1" applyAlignment="1">
      <alignment horizontal="right" vertical="center" wrapText="1"/>
    </xf>
    <xf numFmtId="4" fontId="50" fillId="10" borderId="1" xfId="5" applyNumberFormat="1" applyFont="1" applyFill="1" applyBorder="1" applyAlignment="1">
      <alignment horizontal="right" vertical="center" wrapText="1"/>
    </xf>
    <xf numFmtId="4" fontId="49" fillId="17" borderId="1" xfId="5" applyNumberFormat="1" applyFont="1" applyFill="1" applyBorder="1" applyAlignment="1">
      <alignment horizontal="right" vertical="center" wrapText="1"/>
    </xf>
    <xf numFmtId="4" fontId="16" fillId="17" borderId="1" xfId="5" applyNumberFormat="1" applyFont="1" applyFill="1" applyBorder="1" applyAlignment="1">
      <alignment horizontal="right" vertical="center" wrapText="1"/>
    </xf>
    <xf numFmtId="4" fontId="50" fillId="17" borderId="1" xfId="5" applyNumberFormat="1" applyFont="1" applyFill="1" applyBorder="1" applyAlignment="1">
      <alignment horizontal="right" vertical="center" wrapText="1"/>
    </xf>
    <xf numFmtId="0" fontId="13" fillId="4" borderId="10" xfId="0" applyFont="1" applyFill="1" applyBorder="1" applyProtection="1">
      <protection hidden="1"/>
    </xf>
    <xf numFmtId="0" fontId="78" fillId="4" borderId="10" xfId="0" applyFont="1" applyFill="1" applyBorder="1" applyProtection="1">
      <protection hidden="1"/>
    </xf>
    <xf numFmtId="0" fontId="13" fillId="4" borderId="0" xfId="0" applyFont="1" applyFill="1" applyProtection="1"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0" fontId="47" fillId="20" borderId="31" xfId="0" applyFont="1" applyFill="1" applyBorder="1" applyAlignment="1">
      <alignment horizontal="right" vertical="center" wrapText="1"/>
    </xf>
    <xf numFmtId="166" fontId="47" fillId="13" borderId="31" xfId="0" applyNumberFormat="1" applyFont="1" applyFill="1" applyBorder="1" applyAlignment="1">
      <alignment horizontal="right" vertical="center" wrapText="1"/>
    </xf>
    <xf numFmtId="166" fontId="47" fillId="20" borderId="31" xfId="0" applyNumberFormat="1" applyFont="1" applyFill="1" applyBorder="1" applyAlignment="1">
      <alignment horizontal="right" vertical="center" wrapText="1"/>
    </xf>
    <xf numFmtId="0" fontId="45" fillId="14" borderId="31" xfId="0" applyFont="1" applyFill="1" applyBorder="1" applyAlignment="1">
      <alignment vertical="center" wrapText="1"/>
    </xf>
    <xf numFmtId="0" fontId="45" fillId="20" borderId="31" xfId="0" applyFont="1" applyFill="1" applyBorder="1" applyAlignment="1">
      <alignment vertical="center" wrapText="1"/>
    </xf>
    <xf numFmtId="0" fontId="72" fillId="9" borderId="1" xfId="5" applyFont="1" applyFill="1" applyBorder="1" applyAlignment="1">
      <alignment horizontal="center" vertical="center" wrapText="1"/>
    </xf>
    <xf numFmtId="0" fontId="72" fillId="9" borderId="1" xfId="5" applyFont="1" applyFill="1" applyBorder="1" applyAlignment="1">
      <alignment horizontal="left" vertical="center" wrapText="1"/>
    </xf>
    <xf numFmtId="49" fontId="49" fillId="9" borderId="1" xfId="5" applyNumberFormat="1" applyFont="1" applyFill="1" applyBorder="1" applyAlignment="1">
      <alignment horizontal="left" vertical="center" wrapText="1"/>
    </xf>
    <xf numFmtId="0" fontId="72" fillId="4" borderId="1" xfId="5" applyFont="1" applyFill="1" applyBorder="1" applyAlignment="1">
      <alignment horizontal="right" vertical="center" wrapText="1"/>
    </xf>
    <xf numFmtId="49" fontId="72" fillId="0" borderId="1" xfId="5" applyNumberFormat="1" applyFont="1" applyBorder="1" applyAlignment="1">
      <alignment horizontal="center" vertical="center"/>
    </xf>
    <xf numFmtId="0" fontId="73" fillId="0" borderId="1" xfId="5" applyFont="1" applyBorder="1" applyAlignment="1">
      <alignment horizontal="left" vertical="center" wrapText="1"/>
    </xf>
    <xf numFmtId="3" fontId="72" fillId="15" borderId="1" xfId="5" applyNumberFormat="1" applyFont="1" applyFill="1" applyBorder="1" applyAlignment="1">
      <alignment horizontal="right" vertical="center" wrapText="1"/>
    </xf>
    <xf numFmtId="3" fontId="72" fillId="19" borderId="1" xfId="5" applyNumberFormat="1" applyFont="1" applyFill="1" applyBorder="1" applyAlignment="1">
      <alignment horizontal="right" vertical="center" wrapText="1"/>
    </xf>
    <xf numFmtId="49" fontId="73" fillId="0" borderId="1" xfId="5" applyNumberFormat="1" applyFont="1" applyBorder="1" applyAlignment="1">
      <alignment horizontal="right" vertical="center" wrapText="1"/>
    </xf>
    <xf numFmtId="0" fontId="3" fillId="0" borderId="1" xfId="5" applyFont="1" applyBorder="1" applyAlignment="1">
      <alignment wrapText="1"/>
    </xf>
    <xf numFmtId="0" fontId="74" fillId="5" borderId="1" xfId="4" applyFont="1" applyFill="1" applyBorder="1" applyAlignment="1">
      <alignment vertical="top" wrapText="1"/>
    </xf>
    <xf numFmtId="49" fontId="3" fillId="0" borderId="1" xfId="5" applyNumberFormat="1" applyFont="1" applyBorder="1" applyAlignment="1">
      <alignment horizontal="right" vertical="top" wrapText="1"/>
    </xf>
    <xf numFmtId="0" fontId="3" fillId="0" borderId="1" xfId="5" applyFont="1" applyBorder="1" applyAlignment="1">
      <alignment vertical="center" wrapText="1"/>
    </xf>
    <xf numFmtId="49" fontId="3" fillId="0" borderId="1" xfId="4" applyNumberFormat="1" applyFont="1" applyBorder="1" applyAlignment="1" applyProtection="1">
      <alignment horizontal="right" vertical="center" wrapText="1"/>
      <protection hidden="1"/>
    </xf>
    <xf numFmtId="0" fontId="56" fillId="0" borderId="2" xfId="3" applyFont="1" applyBorder="1" applyAlignment="1" applyProtection="1">
      <alignment horizontal="center" vertical="center" wrapText="1"/>
      <protection hidden="1"/>
    </xf>
    <xf numFmtId="0" fontId="56" fillId="3" borderId="2" xfId="3" applyFont="1" applyFill="1" applyBorder="1" applyAlignment="1" applyProtection="1">
      <alignment horizontal="center" vertical="center" wrapText="1"/>
      <protection hidden="1"/>
    </xf>
    <xf numFmtId="0" fontId="96" fillId="3" borderId="2" xfId="3" applyFont="1" applyFill="1" applyBorder="1" applyAlignment="1" applyProtection="1">
      <alignment horizontal="center" vertical="center" wrapText="1"/>
      <protection hidden="1"/>
    </xf>
    <xf numFmtId="0" fontId="96" fillId="3" borderId="0" xfId="3" applyFont="1" applyFill="1" applyAlignment="1" applyProtection="1">
      <alignment horizontal="center" vertical="center" wrapText="1"/>
      <protection hidden="1"/>
    </xf>
    <xf numFmtId="0" fontId="3" fillId="0" borderId="1" xfId="4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4" applyFont="1" applyFill="1" applyBorder="1" applyAlignment="1">
      <alignment vertical="top" wrapText="1"/>
    </xf>
    <xf numFmtId="0" fontId="3" fillId="0" borderId="1" xfId="4" applyFont="1" applyBorder="1" applyAlignment="1">
      <alignment vertical="top" wrapText="1"/>
    </xf>
    <xf numFmtId="0" fontId="3" fillId="0" borderId="40" xfId="4" applyFont="1" applyBorder="1" applyAlignment="1">
      <alignment horizontal="center" vertical="top" wrapText="1"/>
    </xf>
    <xf numFmtId="0" fontId="3" fillId="0" borderId="1" xfId="4" applyFont="1" applyBorder="1" applyAlignment="1">
      <alignment horizontal="left" vertical="top" wrapText="1"/>
    </xf>
    <xf numFmtId="0" fontId="72" fillId="0" borderId="1" xfId="5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 wrapText="1"/>
      <protection hidden="1"/>
    </xf>
    <xf numFmtId="4" fontId="3" fillId="0" borderId="3" xfId="0" applyNumberFormat="1" applyFont="1" applyBorder="1" applyAlignment="1" applyProtection="1">
      <alignment horizontal="right" vertical="center" wrapText="1"/>
      <protection locked="0" hidden="1"/>
    </xf>
    <xf numFmtId="4" fontId="3" fillId="22" borderId="3" xfId="0" applyNumberFormat="1" applyFont="1" applyFill="1" applyBorder="1" applyAlignment="1" applyProtection="1">
      <alignment horizontal="right" vertical="center" wrapText="1"/>
      <protection locked="0" hidden="1"/>
    </xf>
    <xf numFmtId="0" fontId="97" fillId="2" borderId="0" xfId="0" applyFont="1" applyFill="1" applyProtection="1">
      <protection hidden="1"/>
    </xf>
    <xf numFmtId="0" fontId="98" fillId="0" borderId="1" xfId="5" applyFont="1" applyBorder="1" applyAlignment="1">
      <alignment horizontal="center" vertical="center"/>
    </xf>
    <xf numFmtId="49" fontId="98" fillId="0" borderId="1" xfId="5" applyNumberFormat="1" applyFont="1" applyBorder="1" applyAlignment="1">
      <alignment horizontal="center" vertical="center"/>
    </xf>
    <xf numFmtId="0" fontId="97" fillId="0" borderId="1" xfId="4" applyFont="1" applyBorder="1" applyAlignment="1">
      <alignment horizontal="center" vertical="top" wrapText="1"/>
    </xf>
    <xf numFmtId="0" fontId="99" fillId="0" borderId="1" xfId="5" applyFont="1" applyBorder="1" applyAlignment="1">
      <alignment horizontal="left" vertical="center" wrapText="1"/>
    </xf>
    <xf numFmtId="0" fontId="97" fillId="0" borderId="1" xfId="0" applyFont="1" applyBorder="1"/>
    <xf numFmtId="0" fontId="97" fillId="0" borderId="3" xfId="0" applyFont="1" applyBorder="1" applyAlignment="1" applyProtection="1">
      <alignment horizontal="right" vertical="center" wrapText="1"/>
      <protection hidden="1"/>
    </xf>
    <xf numFmtId="3" fontId="99" fillId="0" borderId="1" xfId="5" applyNumberFormat="1" applyFont="1" applyBorder="1" applyAlignment="1">
      <alignment horizontal="right" vertical="center" wrapText="1"/>
    </xf>
    <xf numFmtId="3" fontId="98" fillId="19" borderId="1" xfId="5" applyNumberFormat="1" applyFont="1" applyFill="1" applyBorder="1" applyAlignment="1">
      <alignment horizontal="right" vertical="center" wrapText="1"/>
    </xf>
    <xf numFmtId="49" fontId="99" fillId="0" borderId="1" xfId="5" applyNumberFormat="1" applyFont="1" applyBorder="1" applyAlignment="1">
      <alignment horizontal="right" vertical="center" wrapText="1"/>
    </xf>
    <xf numFmtId="3" fontId="99" fillId="4" borderId="1" xfId="5" applyNumberFormat="1" applyFont="1" applyFill="1" applyBorder="1" applyAlignment="1">
      <alignment horizontal="right" vertical="center" wrapText="1"/>
    </xf>
    <xf numFmtId="0" fontId="97" fillId="2" borderId="1" xfId="4" applyFont="1" applyFill="1" applyBorder="1" applyAlignment="1">
      <alignment vertical="top" wrapText="1"/>
    </xf>
    <xf numFmtId="0" fontId="97" fillId="0" borderId="1" xfId="0" applyFont="1" applyBorder="1" applyAlignment="1">
      <alignment vertical="top" wrapText="1"/>
    </xf>
    <xf numFmtId="0" fontId="100" fillId="0" borderId="0" xfId="0" applyFont="1" applyProtection="1">
      <protection hidden="1"/>
    </xf>
    <xf numFmtId="0" fontId="100" fillId="0" borderId="0" xfId="0" applyFont="1"/>
    <xf numFmtId="4" fontId="3" fillId="2" borderId="0" xfId="0" applyNumberFormat="1" applyFont="1" applyFill="1" applyProtection="1">
      <protection hidden="1"/>
    </xf>
    <xf numFmtId="4" fontId="25" fillId="2" borderId="0" xfId="0" applyNumberFormat="1" applyFont="1" applyFill="1" applyProtection="1">
      <protection hidden="1"/>
    </xf>
    <xf numFmtId="4" fontId="3" fillId="0" borderId="3" xfId="0" applyNumberFormat="1" applyFont="1" applyBorder="1" applyAlignment="1" applyProtection="1">
      <alignment horizontal="right" vertical="center" wrapText="1"/>
      <protection hidden="1"/>
    </xf>
    <xf numFmtId="4" fontId="97" fillId="0" borderId="3" xfId="0" applyNumberFormat="1" applyFont="1" applyBorder="1" applyAlignment="1" applyProtection="1">
      <alignment horizontal="right" vertical="center" wrapText="1"/>
      <protection hidden="1"/>
    </xf>
    <xf numFmtId="0" fontId="3" fillId="2" borderId="0" xfId="2" applyFont="1" applyFill="1" applyProtection="1">
      <protection hidden="1"/>
    </xf>
    <xf numFmtId="0" fontId="67" fillId="5" borderId="1" xfId="4" applyFont="1" applyFill="1" applyBorder="1" applyAlignment="1">
      <alignment vertical="top" wrapText="1"/>
    </xf>
    <xf numFmtId="0" fontId="13" fillId="4" borderId="26" xfId="2" applyFont="1" applyFill="1" applyBorder="1" applyAlignment="1" applyProtection="1">
      <alignment horizontal="left" vertical="center" wrapText="1"/>
      <protection hidden="1"/>
    </xf>
    <xf numFmtId="0" fontId="56" fillId="0" borderId="1" xfId="2" applyFont="1" applyBorder="1" applyAlignment="1">
      <alignment vertical="top" wrapText="1"/>
    </xf>
    <xf numFmtId="1" fontId="56" fillId="21" borderId="1" xfId="2" applyNumberFormat="1" applyFont="1" applyFill="1" applyBorder="1" applyAlignment="1">
      <alignment vertical="top" wrapText="1"/>
    </xf>
    <xf numFmtId="1" fontId="56" fillId="0" borderId="1" xfId="7" applyNumberFormat="1" applyFont="1" applyBorder="1" applyAlignment="1">
      <alignment vertical="top" wrapText="1"/>
    </xf>
    <xf numFmtId="1" fontId="56" fillId="21" borderId="1" xfId="2" applyNumberFormat="1" applyFont="1" applyFill="1" applyBorder="1" applyAlignment="1" applyProtection="1">
      <alignment vertical="top"/>
      <protection hidden="1"/>
    </xf>
    <xf numFmtId="1" fontId="56" fillId="2" borderId="1" xfId="2" applyNumberFormat="1" applyFont="1" applyFill="1" applyBorder="1" applyAlignment="1" applyProtection="1">
      <alignment vertical="top"/>
      <protection hidden="1"/>
    </xf>
    <xf numFmtId="1" fontId="101" fillId="0" borderId="1" xfId="2" applyNumberFormat="1" applyFont="1" applyBorder="1" applyAlignment="1" applyProtection="1">
      <alignment vertical="top"/>
      <protection hidden="1"/>
    </xf>
    <xf numFmtId="0" fontId="4" fillId="0" borderId="0" xfId="2" applyAlignment="1">
      <alignment horizontal="left" vertical="top"/>
    </xf>
    <xf numFmtId="0" fontId="3" fillId="0" borderId="1" xfId="2" applyFont="1" applyBorder="1" applyAlignment="1">
      <alignment vertical="top" wrapText="1"/>
    </xf>
    <xf numFmtId="1" fontId="3" fillId="0" borderId="1" xfId="2" applyNumberFormat="1" applyFont="1" applyBorder="1" applyProtection="1">
      <protection hidden="1"/>
    </xf>
    <xf numFmtId="1" fontId="4" fillId="0" borderId="1" xfId="2" applyNumberFormat="1" applyBorder="1" applyProtection="1">
      <protection hidden="1"/>
    </xf>
    <xf numFmtId="0" fontId="63" fillId="0" borderId="1" xfId="2" applyFont="1" applyBorder="1" applyAlignment="1">
      <alignment vertical="top" wrapText="1"/>
    </xf>
    <xf numFmtId="0" fontId="3" fillId="0" borderId="1" xfId="7" applyFont="1" applyBorder="1" applyAlignment="1">
      <alignment vertical="top" wrapText="1"/>
    </xf>
    <xf numFmtId="1" fontId="3" fillId="23" borderId="1" xfId="2" applyNumberFormat="1" applyFont="1" applyFill="1" applyBorder="1" applyProtection="1">
      <protection hidden="1"/>
    </xf>
    <xf numFmtId="3" fontId="25" fillId="2" borderId="0" xfId="2" applyNumberFormat="1" applyFont="1" applyFill="1" applyProtection="1">
      <protection hidden="1"/>
    </xf>
    <xf numFmtId="1" fontId="70" fillId="2" borderId="0" xfId="2" applyNumberFormat="1" applyFont="1" applyFill="1" applyProtection="1">
      <protection hidden="1"/>
    </xf>
    <xf numFmtId="0" fontId="95" fillId="22" borderId="1" xfId="4" applyFont="1" applyFill="1" applyBorder="1" applyAlignment="1">
      <alignment vertical="top" wrapText="1"/>
    </xf>
    <xf numFmtId="0" fontId="4" fillId="0" borderId="0" xfId="0" applyFont="1" applyProtection="1">
      <protection hidden="1"/>
    </xf>
    <xf numFmtId="1" fontId="3" fillId="0" borderId="1" xfId="7" applyNumberFormat="1" applyFont="1" applyBorder="1" applyAlignment="1">
      <alignment vertical="top" wrapText="1"/>
    </xf>
    <xf numFmtId="1" fontId="3" fillId="0" borderId="1" xfId="2" applyNumberFormat="1" applyFont="1" applyBorder="1" applyAlignment="1">
      <alignment vertical="top" wrapText="1"/>
    </xf>
    <xf numFmtId="1" fontId="3" fillId="23" borderId="1" xfId="7" applyNumberFormat="1" applyFont="1" applyFill="1" applyBorder="1" applyAlignment="1">
      <alignment vertical="top" wrapText="1"/>
    </xf>
    <xf numFmtId="1" fontId="3" fillId="23" borderId="1" xfId="2" applyNumberFormat="1" applyFont="1" applyFill="1" applyBorder="1" applyAlignment="1">
      <alignment vertical="top" wrapText="1"/>
    </xf>
    <xf numFmtId="0" fontId="3" fillId="0" borderId="1" xfId="5" applyFont="1" applyBorder="1"/>
    <xf numFmtId="0" fontId="97" fillId="0" borderId="1" xfId="5" applyFont="1" applyBorder="1" applyAlignment="1">
      <alignment wrapText="1"/>
    </xf>
    <xf numFmtId="0" fontId="97" fillId="0" borderId="1" xfId="5" applyFont="1" applyBorder="1"/>
    <xf numFmtId="0" fontId="3" fillId="0" borderId="1" xfId="5" applyFont="1" applyBorder="1" applyAlignment="1">
      <alignment vertical="top"/>
    </xf>
    <xf numFmtId="0" fontId="3" fillId="0" borderId="1" xfId="5" applyFont="1" applyBorder="1" applyAlignment="1">
      <alignment vertical="center"/>
    </xf>
    <xf numFmtId="0" fontId="3" fillId="0" borderId="1" xfId="0" applyFont="1" applyBorder="1" applyAlignment="1">
      <alignment vertical="top"/>
    </xf>
    <xf numFmtId="3" fontId="3" fillId="0" borderId="1" xfId="5" applyNumberFormat="1" applyFont="1" applyBorder="1" applyAlignment="1">
      <alignment horizontal="right" vertical="center" wrapText="1"/>
    </xf>
    <xf numFmtId="0" fontId="56" fillId="5" borderId="2" xfId="3" applyFont="1" applyFill="1" applyBorder="1" applyAlignment="1" applyProtection="1">
      <alignment horizontal="center" vertical="center" wrapText="1"/>
      <protection hidden="1"/>
    </xf>
    <xf numFmtId="3" fontId="73" fillId="5" borderId="1" xfId="5" applyNumberFormat="1" applyFont="1" applyFill="1" applyBorder="1" applyAlignment="1">
      <alignment horizontal="right" vertical="center" wrapText="1"/>
    </xf>
    <xf numFmtId="0" fontId="105" fillId="0" borderId="0" xfId="0" applyFont="1" applyAlignment="1">
      <alignment vertical="center"/>
    </xf>
    <xf numFmtId="4" fontId="3" fillId="2" borderId="1" xfId="0" applyNumberFormat="1" applyFont="1" applyFill="1" applyBorder="1" applyProtection="1">
      <protection hidden="1"/>
    </xf>
    <xf numFmtId="4" fontId="97" fillId="2" borderId="1" xfId="0" applyNumberFormat="1" applyFont="1" applyFill="1" applyBorder="1" applyProtection="1">
      <protection hidden="1"/>
    </xf>
    <xf numFmtId="4" fontId="68" fillId="2" borderId="1" xfId="0" applyNumberFormat="1" applyFont="1" applyFill="1" applyBorder="1" applyProtection="1">
      <protection hidden="1"/>
    </xf>
    <xf numFmtId="4" fontId="3" fillId="24" borderId="1" xfId="0" applyNumberFormat="1" applyFont="1" applyFill="1" applyBorder="1" applyProtection="1">
      <protection hidden="1"/>
    </xf>
    <xf numFmtId="4" fontId="97" fillId="24" borderId="1" xfId="0" applyNumberFormat="1" applyFont="1" applyFill="1" applyBorder="1" applyProtection="1">
      <protection hidden="1"/>
    </xf>
    <xf numFmtId="4" fontId="3" fillId="24" borderId="1" xfId="4" applyNumberFormat="1" applyFont="1" applyFill="1" applyBorder="1" applyAlignment="1">
      <alignment vertical="top" wrapText="1"/>
    </xf>
    <xf numFmtId="0" fontId="73" fillId="9" borderId="1" xfId="5" applyFont="1" applyFill="1" applyBorder="1" applyAlignment="1">
      <alignment horizontal="left" vertical="center" wrapText="1"/>
    </xf>
    <xf numFmtId="0" fontId="73" fillId="4" borderId="1" xfId="5" applyFont="1" applyFill="1" applyBorder="1" applyAlignment="1">
      <alignment horizontal="right" vertical="center" wrapText="1"/>
    </xf>
    <xf numFmtId="4" fontId="3" fillId="25" borderId="3" xfId="0" applyNumberFormat="1" applyFont="1" applyFill="1" applyBorder="1" applyAlignment="1" applyProtection="1">
      <alignment horizontal="right" vertical="center" wrapText="1"/>
      <protection hidden="1"/>
    </xf>
    <xf numFmtId="4" fontId="106" fillId="0" borderId="1" xfId="4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 applyProtection="1">
      <alignment horizontal="right" vertical="center" wrapText="1"/>
      <protection locked="0" hidden="1"/>
    </xf>
    <xf numFmtId="4" fontId="3" fillId="0" borderId="1" xfId="0" applyNumberFormat="1" applyFont="1" applyBorder="1" applyAlignment="1" applyProtection="1">
      <alignment horizontal="right" vertical="center" wrapText="1"/>
      <protection hidden="1"/>
    </xf>
    <xf numFmtId="0" fontId="3" fillId="2" borderId="1" xfId="0" applyFont="1" applyFill="1" applyBorder="1" applyProtection="1">
      <protection hidden="1"/>
    </xf>
    <xf numFmtId="4" fontId="3" fillId="0" borderId="1" xfId="0" applyNumberFormat="1" applyFont="1" applyBorder="1" applyProtection="1">
      <protection hidden="1"/>
    </xf>
    <xf numFmtId="4" fontId="73" fillId="0" borderId="1" xfId="5" applyNumberFormat="1" applyFont="1" applyBorder="1" applyAlignment="1">
      <alignment horizontal="right" vertical="center" wrapText="1"/>
    </xf>
    <xf numFmtId="4" fontId="99" fillId="0" borderId="1" xfId="5" applyNumberFormat="1" applyFont="1" applyBorder="1" applyAlignment="1">
      <alignment horizontal="right" vertical="center" wrapText="1"/>
    </xf>
    <xf numFmtId="0" fontId="45" fillId="26" borderId="31" xfId="0" applyFont="1" applyFill="1" applyBorder="1" applyAlignment="1">
      <alignment vertical="center" wrapText="1"/>
    </xf>
    <xf numFmtId="0" fontId="47" fillId="26" borderId="31" xfId="0" applyFont="1" applyFill="1" applyBorder="1" applyAlignment="1">
      <alignment horizontal="right" vertical="center" wrapText="1"/>
    </xf>
    <xf numFmtId="0" fontId="107" fillId="26" borderId="31" xfId="0" applyFont="1" applyFill="1" applyBorder="1" applyAlignment="1">
      <alignment horizontal="right" vertical="center" wrapText="1"/>
    </xf>
    <xf numFmtId="166" fontId="47" fillId="26" borderId="31" xfId="0" applyNumberFormat="1" applyFont="1" applyFill="1" applyBorder="1" applyAlignment="1">
      <alignment horizontal="right" vertical="center" wrapText="1"/>
    </xf>
    <xf numFmtId="0" fontId="28" fillId="4" borderId="9" xfId="0" applyFont="1" applyFill="1" applyBorder="1" applyAlignment="1" applyProtection="1">
      <alignment vertical="center"/>
      <protection hidden="1"/>
    </xf>
    <xf numFmtId="0" fontId="109" fillId="0" borderId="1" xfId="5" applyFont="1" applyBorder="1" applyAlignment="1">
      <alignment horizontal="left" vertical="center" wrapText="1"/>
    </xf>
    <xf numFmtId="0" fontId="108" fillId="0" borderId="1" xfId="0" applyFont="1" applyBorder="1"/>
    <xf numFmtId="49" fontId="4" fillId="0" borderId="0" xfId="2" applyNumberFormat="1" applyAlignment="1">
      <alignment horizontal="left" vertical="top"/>
    </xf>
    <xf numFmtId="0" fontId="4" fillId="0" borderId="0" xfId="0" applyFont="1" applyAlignment="1" applyProtection="1">
      <alignment wrapText="1"/>
      <protection hidden="1"/>
    </xf>
    <xf numFmtId="4" fontId="0" fillId="0" borderId="0" xfId="0" applyNumberFormat="1" applyProtection="1">
      <protection hidden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9" fillId="4" borderId="17" xfId="0" applyNumberFormat="1" applyFont="1" applyFill="1" applyBorder="1" applyAlignment="1">
      <alignment horizontal="right" vertical="center" wrapText="1"/>
    </xf>
    <xf numFmtId="4" fontId="9" fillId="4" borderId="5" xfId="0" applyNumberFormat="1" applyFont="1" applyFill="1" applyBorder="1" applyAlignment="1">
      <alignment horizontal="right" vertical="center" wrapText="1"/>
    </xf>
    <xf numFmtId="0" fontId="3" fillId="4" borderId="6" xfId="0" applyFont="1" applyFill="1" applyBorder="1" applyAlignment="1" applyProtection="1">
      <alignment horizontal="left" vertical="center" wrapText="1"/>
      <protection hidden="1"/>
    </xf>
    <xf numFmtId="0" fontId="3" fillId="4" borderId="7" xfId="0" applyFont="1" applyFill="1" applyBorder="1" applyAlignment="1" applyProtection="1">
      <alignment horizontal="left" vertical="center" wrapText="1"/>
      <protection hidden="1"/>
    </xf>
    <xf numFmtId="0" fontId="9" fillId="3" borderId="27" xfId="0" applyFont="1" applyFill="1" applyBorder="1" applyAlignment="1" applyProtection="1">
      <alignment horizontal="center" vertical="top" wrapText="1"/>
      <protection hidden="1"/>
    </xf>
    <xf numFmtId="4" fontId="19" fillId="4" borderId="0" xfId="0" applyNumberFormat="1" applyFont="1" applyFill="1" applyAlignment="1" applyProtection="1">
      <alignment horizontal="right" vertical="center"/>
      <protection hidden="1"/>
    </xf>
    <xf numFmtId="4" fontId="19" fillId="4" borderId="7" xfId="0" applyNumberFormat="1" applyFont="1" applyFill="1" applyBorder="1" applyAlignment="1" applyProtection="1">
      <alignment horizontal="right" vertical="center"/>
      <protection hidden="1"/>
    </xf>
    <xf numFmtId="4" fontId="19" fillId="4" borderId="5" xfId="0" applyNumberFormat="1" applyFont="1" applyFill="1" applyBorder="1" applyAlignment="1" applyProtection="1">
      <alignment horizontal="right" vertical="center"/>
      <protection hidden="1"/>
    </xf>
    <xf numFmtId="4" fontId="19" fillId="4" borderId="51" xfId="0" applyNumberFormat="1" applyFont="1" applyFill="1" applyBorder="1" applyAlignment="1" applyProtection="1">
      <alignment horizontal="right" vertical="center"/>
      <protection hidden="1"/>
    </xf>
    <xf numFmtId="4" fontId="19" fillId="4" borderId="17" xfId="0" applyNumberFormat="1" applyFont="1" applyFill="1" applyBorder="1" applyAlignment="1" applyProtection="1">
      <alignment horizontal="right" vertical="center"/>
      <protection hidden="1"/>
    </xf>
    <xf numFmtId="0" fontId="3" fillId="4" borderId="6" xfId="0" applyFont="1" applyFill="1" applyBorder="1" applyAlignment="1" applyProtection="1">
      <alignment horizontal="left" vertical="center" wrapText="1"/>
      <protection locked="0" hidden="1"/>
    </xf>
    <xf numFmtId="0" fontId="3" fillId="4" borderId="7" xfId="0" applyFont="1" applyFill="1" applyBorder="1" applyAlignment="1" applyProtection="1">
      <alignment horizontal="left" vertical="center" wrapText="1"/>
      <protection locked="0" hidden="1"/>
    </xf>
    <xf numFmtId="0" fontId="28" fillId="4" borderId="14" xfId="0" applyFont="1" applyFill="1" applyBorder="1" applyAlignment="1" applyProtection="1">
      <alignment horizontal="left" vertical="center" wrapText="1"/>
      <protection hidden="1"/>
    </xf>
    <xf numFmtId="0" fontId="28" fillId="4" borderId="15" xfId="0" applyFont="1" applyFill="1" applyBorder="1" applyAlignment="1" applyProtection="1">
      <alignment horizontal="left" vertical="center" wrapText="1"/>
      <protection hidden="1"/>
    </xf>
    <xf numFmtId="0" fontId="28" fillId="4" borderId="16" xfId="0" applyFont="1" applyFill="1" applyBorder="1" applyAlignment="1" applyProtection="1">
      <alignment horizontal="left" vertical="center" wrapText="1"/>
      <protection hidden="1"/>
    </xf>
    <xf numFmtId="0" fontId="33" fillId="6" borderId="20" xfId="0" applyFont="1" applyFill="1" applyBorder="1" applyAlignment="1" applyProtection="1">
      <alignment vertical="center" wrapText="1"/>
      <protection hidden="1"/>
    </xf>
    <xf numFmtId="0" fontId="33" fillId="6" borderId="21" xfId="0" applyFont="1" applyFill="1" applyBorder="1" applyAlignment="1" applyProtection="1">
      <alignment vertical="center" wrapText="1"/>
      <protection hidden="1"/>
    </xf>
    <xf numFmtId="0" fontId="33" fillId="6" borderId="22" xfId="0" applyFont="1" applyFill="1" applyBorder="1" applyAlignment="1" applyProtection="1">
      <alignment vertical="center" wrapText="1"/>
      <protection hidden="1"/>
    </xf>
    <xf numFmtId="49" fontId="9" fillId="0" borderId="6" xfId="0" applyNumberFormat="1" applyFont="1" applyBorder="1" applyAlignment="1" applyProtection="1">
      <alignment horizontal="left" vertical="top" wrapText="1"/>
      <protection locked="0"/>
    </xf>
    <xf numFmtId="49" fontId="9" fillId="0" borderId="7" xfId="0" applyNumberFormat="1" applyFont="1" applyBorder="1" applyAlignment="1" applyProtection="1">
      <alignment horizontal="left" vertical="top" wrapText="1"/>
      <protection locked="0"/>
    </xf>
    <xf numFmtId="4" fontId="16" fillId="4" borderId="7" xfId="0" applyNumberFormat="1" applyFont="1" applyFill="1" applyBorder="1" applyAlignment="1" applyProtection="1">
      <alignment horizontal="right" vertical="center"/>
      <protection hidden="1"/>
    </xf>
    <xf numFmtId="4" fontId="16" fillId="4" borderId="5" xfId="0" applyNumberFormat="1" applyFont="1" applyFill="1" applyBorder="1" applyAlignment="1" applyProtection="1">
      <alignment horizontal="right" vertical="center"/>
      <protection hidden="1"/>
    </xf>
    <xf numFmtId="4" fontId="54" fillId="4" borderId="7" xfId="0" applyNumberFormat="1" applyFont="1" applyFill="1" applyBorder="1" applyAlignment="1" applyProtection="1">
      <alignment horizontal="right" vertical="center"/>
      <protection hidden="1"/>
    </xf>
    <xf numFmtId="4" fontId="54" fillId="4" borderId="51" xfId="0" applyNumberFormat="1" applyFont="1" applyFill="1" applyBorder="1" applyAlignment="1" applyProtection="1">
      <alignment horizontal="right" vertical="center"/>
      <protection hidden="1"/>
    </xf>
    <xf numFmtId="4" fontId="16" fillId="4" borderId="17" xfId="0" applyNumberFormat="1" applyFont="1" applyFill="1" applyBorder="1" applyAlignment="1" applyProtection="1">
      <alignment horizontal="right" vertical="center"/>
      <protection hidden="1"/>
    </xf>
    <xf numFmtId="0" fontId="32" fillId="6" borderId="20" xfId="0" applyFont="1" applyFill="1" applyBorder="1" applyAlignment="1" applyProtection="1">
      <alignment vertical="center" wrapText="1"/>
      <protection hidden="1"/>
    </xf>
    <xf numFmtId="0" fontId="32" fillId="6" borderId="21" xfId="0" applyFont="1" applyFill="1" applyBorder="1" applyAlignment="1" applyProtection="1">
      <alignment vertical="center" wrapText="1"/>
      <protection hidden="1"/>
    </xf>
    <xf numFmtId="0" fontId="32" fillId="6" borderId="22" xfId="0" applyFont="1" applyFill="1" applyBorder="1" applyAlignment="1" applyProtection="1">
      <alignment vertical="center" wrapText="1"/>
      <protection hidden="1"/>
    </xf>
    <xf numFmtId="4" fontId="9" fillId="4" borderId="7" xfId="0" applyNumberFormat="1" applyFont="1" applyFill="1" applyBorder="1" applyAlignment="1">
      <alignment horizontal="right" vertical="center" wrapText="1"/>
    </xf>
    <xf numFmtId="4" fontId="54" fillId="4" borderId="7" xfId="0" applyNumberFormat="1" applyFont="1" applyFill="1" applyBorder="1" applyAlignment="1">
      <alignment horizontal="right" vertical="center" wrapText="1"/>
    </xf>
    <xf numFmtId="4" fontId="54" fillId="4" borderId="51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 applyProtection="1">
      <alignment horizontal="left" vertical="center" wrapText="1"/>
      <protection hidden="1"/>
    </xf>
    <xf numFmtId="0" fontId="9" fillId="4" borderId="17" xfId="0" applyFont="1" applyFill="1" applyBorder="1" applyAlignment="1" applyProtection="1">
      <alignment horizontal="left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36" fillId="6" borderId="5" xfId="0" applyFont="1" applyFill="1" applyBorder="1" applyAlignment="1" applyProtection="1">
      <alignment horizontal="right" vertical="center" wrapText="1"/>
      <protection hidden="1"/>
    </xf>
    <xf numFmtId="0" fontId="36" fillId="6" borderId="6" xfId="0" applyFont="1" applyFill="1" applyBorder="1" applyAlignment="1" applyProtection="1">
      <alignment horizontal="right" vertical="center" wrapText="1"/>
      <protection hidden="1"/>
    </xf>
    <xf numFmtId="0" fontId="36" fillId="6" borderId="7" xfId="0" applyFont="1" applyFill="1" applyBorder="1" applyAlignment="1" applyProtection="1">
      <alignment horizontal="right" vertical="center" wrapText="1"/>
      <protection hidden="1"/>
    </xf>
    <xf numFmtId="0" fontId="5" fillId="4" borderId="5" xfId="0" applyFont="1" applyFill="1" applyBorder="1" applyAlignment="1" applyProtection="1">
      <alignment horizontal="left" vertical="center" wrapText="1"/>
      <protection hidden="1"/>
    </xf>
    <xf numFmtId="0" fontId="5" fillId="4" borderId="6" xfId="0" applyFont="1" applyFill="1" applyBorder="1" applyAlignment="1" applyProtection="1">
      <alignment horizontal="left" vertical="center" wrapText="1"/>
      <protection hidden="1"/>
    </xf>
    <xf numFmtId="0" fontId="5" fillId="4" borderId="7" xfId="0" applyFont="1" applyFill="1" applyBorder="1" applyAlignment="1" applyProtection="1">
      <alignment horizontal="left" vertical="center" wrapText="1"/>
      <protection hidden="1"/>
    </xf>
    <xf numFmtId="0" fontId="15" fillId="4" borderId="7" xfId="0" applyFont="1" applyFill="1" applyBorder="1" applyAlignment="1" applyProtection="1">
      <alignment horizontal="left" vertical="center" wrapText="1"/>
      <protection hidden="1"/>
    </xf>
    <xf numFmtId="0" fontId="15" fillId="4" borderId="5" xfId="0" applyFont="1" applyFill="1" applyBorder="1" applyAlignment="1" applyProtection="1">
      <alignment horizontal="left" vertical="center" wrapText="1"/>
      <protection hidden="1"/>
    </xf>
    <xf numFmtId="14" fontId="9" fillId="4" borderId="7" xfId="0" applyNumberFormat="1" applyFont="1" applyFill="1" applyBorder="1" applyAlignment="1" applyProtection="1">
      <alignment vertical="center" wrapText="1"/>
      <protection hidden="1"/>
    </xf>
    <xf numFmtId="14" fontId="9" fillId="4" borderId="5" xfId="0" applyNumberFormat="1" applyFont="1" applyFill="1" applyBorder="1" applyAlignment="1" applyProtection="1">
      <alignment vertical="center" wrapText="1"/>
      <protection hidden="1"/>
    </xf>
    <xf numFmtId="0" fontId="15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7" xfId="0" applyFont="1" applyFill="1" applyBorder="1" applyAlignment="1" applyProtection="1">
      <alignment horizontal="left" vertical="center" wrapText="1"/>
      <protection hidden="1"/>
    </xf>
    <xf numFmtId="0" fontId="8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left" vertical="center" wrapText="1"/>
      <protection hidden="1"/>
    </xf>
    <xf numFmtId="4" fontId="9" fillId="0" borderId="7" xfId="0" applyNumberFormat="1" applyFont="1" applyBorder="1" applyAlignment="1" applyProtection="1">
      <alignment horizontal="left" vertical="center" wrapText="1"/>
      <protection locked="0"/>
    </xf>
    <xf numFmtId="4" fontId="9" fillId="0" borderId="17" xfId="0" applyNumberFormat="1" applyFont="1" applyBorder="1" applyAlignment="1" applyProtection="1">
      <alignment horizontal="left" vertical="center" wrapText="1"/>
      <protection locked="0"/>
    </xf>
    <xf numFmtId="4" fontId="9" fillId="0" borderId="5" xfId="0" applyNumberFormat="1" applyFont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Protection="1">
      <protection hidden="1"/>
    </xf>
    <xf numFmtId="0" fontId="5" fillId="6" borderId="8" xfId="0" applyFont="1" applyFill="1" applyBorder="1" applyAlignment="1" applyProtection="1">
      <alignment vertical="center" wrapText="1"/>
      <protection hidden="1"/>
    </xf>
    <xf numFmtId="0" fontId="5" fillId="6" borderId="5" xfId="0" applyFont="1" applyFill="1" applyBorder="1" applyAlignment="1" applyProtection="1">
      <alignment vertical="center" wrapText="1"/>
      <protection hidden="1"/>
    </xf>
    <xf numFmtId="4" fontId="54" fillId="4" borderId="17" xfId="0" applyNumberFormat="1" applyFont="1" applyFill="1" applyBorder="1" applyAlignment="1">
      <alignment horizontal="right" vertical="center" wrapText="1"/>
    </xf>
    <xf numFmtId="4" fontId="21" fillId="4" borderId="0" xfId="0" applyNumberFormat="1" applyFont="1" applyFill="1" applyAlignment="1">
      <alignment horizontal="right" vertical="center" wrapText="1"/>
    </xf>
    <xf numFmtId="4" fontId="62" fillId="4" borderId="0" xfId="0" applyNumberFormat="1" applyFont="1" applyFill="1" applyAlignment="1">
      <alignment horizontal="right" vertical="center" wrapText="1"/>
    </xf>
    <xf numFmtId="0" fontId="9" fillId="3" borderId="7" xfId="0" applyFont="1" applyFill="1" applyBorder="1" applyAlignment="1" applyProtection="1">
      <alignment horizontal="center" vertical="top" wrapText="1"/>
      <protection hidden="1"/>
    </xf>
    <xf numFmtId="0" fontId="9" fillId="3" borderId="51" xfId="0" applyFont="1" applyFill="1" applyBorder="1" applyAlignment="1" applyProtection="1">
      <alignment horizontal="center" vertical="top" wrapText="1"/>
      <protection hidden="1"/>
    </xf>
    <xf numFmtId="1" fontId="9" fillId="9" borderId="19" xfId="0" applyNumberFormat="1" applyFont="1" applyFill="1" applyBorder="1" applyAlignment="1" applyProtection="1">
      <alignment horizontal="center" vertical="top" wrapText="1"/>
      <protection hidden="1"/>
    </xf>
    <xf numFmtId="1" fontId="9" fillId="9" borderId="8" xfId="0" applyNumberFormat="1" applyFont="1" applyFill="1" applyBorder="1" applyAlignment="1" applyProtection="1">
      <alignment horizontal="center" vertical="top" wrapText="1"/>
      <protection hidden="1"/>
    </xf>
    <xf numFmtId="1" fontId="9" fillId="3" borderId="18" xfId="0" applyNumberFormat="1" applyFont="1" applyFill="1" applyBorder="1" applyAlignment="1" applyProtection="1">
      <alignment horizontal="center" vertical="top" wrapText="1"/>
      <protection hidden="1"/>
    </xf>
    <xf numFmtId="4" fontId="16" fillId="4" borderId="6" xfId="0" applyNumberFormat="1" applyFont="1" applyFill="1" applyBorder="1" applyAlignment="1" applyProtection="1">
      <alignment horizontal="right" vertical="center"/>
      <protection hidden="1"/>
    </xf>
    <xf numFmtId="4" fontId="54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13" fillId="3" borderId="5" xfId="0" applyFont="1" applyFill="1" applyBorder="1" applyAlignment="1" applyProtection="1">
      <alignment horizontal="left" vertical="center" wrapText="1"/>
      <protection hidden="1"/>
    </xf>
    <xf numFmtId="0" fontId="9" fillId="9" borderId="26" xfId="0" applyFont="1" applyFill="1" applyBorder="1" applyAlignment="1" applyProtection="1">
      <alignment horizontal="center" vertical="top" wrapText="1"/>
      <protection hidden="1"/>
    </xf>
    <xf numFmtId="0" fontId="9" fillId="3" borderId="26" xfId="0" applyFont="1" applyFill="1" applyBorder="1" applyAlignment="1" applyProtection="1">
      <alignment horizontal="center" vertical="top" wrapText="1"/>
      <protection hidden="1"/>
    </xf>
    <xf numFmtId="4" fontId="8" fillId="4" borderId="6" xfId="0" applyNumberFormat="1" applyFont="1" applyFill="1" applyBorder="1" applyAlignment="1" applyProtection="1">
      <alignment horizontal="right" vertical="center"/>
      <protection hidden="1"/>
    </xf>
    <xf numFmtId="0" fontId="9" fillId="3" borderId="17" xfId="0" applyFont="1" applyFill="1" applyBorder="1" applyAlignment="1" applyProtection="1">
      <alignment horizontal="center" vertical="top" wrapText="1"/>
      <protection hidden="1"/>
    </xf>
    <xf numFmtId="0" fontId="9" fillId="3" borderId="5" xfId="0" applyFont="1" applyFill="1" applyBorder="1" applyAlignment="1" applyProtection="1">
      <alignment horizontal="center" vertical="top" wrapText="1"/>
      <protection hidden="1"/>
    </xf>
    <xf numFmtId="0" fontId="9" fillId="4" borderId="0" xfId="0" applyFont="1" applyFill="1" applyAlignment="1" applyProtection="1">
      <alignment horizontal="center" vertical="top" wrapText="1"/>
      <protection hidden="1"/>
    </xf>
    <xf numFmtId="0" fontId="20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vertical="center" wrapText="1"/>
      <protection hidden="1"/>
    </xf>
    <xf numFmtId="0" fontId="26" fillId="4" borderId="0" xfId="0" applyFont="1" applyFill="1" applyAlignment="1" applyProtection="1">
      <alignment horizontal="center" vertical="center" wrapText="1"/>
      <protection hidden="1"/>
    </xf>
    <xf numFmtId="0" fontId="28" fillId="4" borderId="9" xfId="0" applyFont="1" applyFill="1" applyBorder="1" applyAlignment="1" applyProtection="1">
      <alignment vertical="center" wrapText="1"/>
      <protection hidden="1"/>
    </xf>
    <xf numFmtId="4" fontId="54" fillId="4" borderId="6" xfId="0" applyNumberFormat="1" applyFont="1" applyFill="1" applyBorder="1" applyAlignment="1" applyProtection="1">
      <alignment horizontal="right" vertical="center"/>
      <protection hidden="1"/>
    </xf>
    <xf numFmtId="4" fontId="54" fillId="4" borderId="6" xfId="0" applyNumberFormat="1" applyFont="1" applyFill="1" applyBorder="1" applyAlignment="1">
      <alignment horizontal="right" vertical="center" wrapText="1"/>
    </xf>
    <xf numFmtId="4" fontId="17" fillId="4" borderId="0" xfId="0" applyNumberFormat="1" applyFont="1" applyFill="1" applyAlignment="1">
      <alignment horizontal="right" vertical="center" wrapText="1"/>
    </xf>
    <xf numFmtId="4" fontId="9" fillId="4" borderId="6" xfId="0" applyNumberFormat="1" applyFont="1" applyFill="1" applyBorder="1" applyAlignment="1">
      <alignment horizontal="right" vertical="center" wrapText="1"/>
    </xf>
    <xf numFmtId="4" fontId="19" fillId="4" borderId="6" xfId="0" applyNumberFormat="1" applyFont="1" applyFill="1" applyBorder="1" applyAlignment="1" applyProtection="1">
      <alignment horizontal="right" vertical="center"/>
      <protection hidden="1"/>
    </xf>
    <xf numFmtId="0" fontId="10" fillId="4" borderId="0" xfId="0" applyFont="1" applyFill="1" applyAlignment="1" applyProtection="1">
      <alignment horizontal="left" vertical="top" wrapText="1"/>
      <protection hidden="1"/>
    </xf>
    <xf numFmtId="0" fontId="5" fillId="6" borderId="17" xfId="0" applyFont="1" applyFill="1" applyBorder="1" applyAlignment="1" applyProtection="1">
      <alignment horizontal="left" vertical="center" wrapText="1"/>
      <protection hidden="1"/>
    </xf>
    <xf numFmtId="0" fontId="5" fillId="6" borderId="5" xfId="0" applyFont="1" applyFill="1" applyBorder="1" applyAlignment="1" applyProtection="1">
      <alignment horizontal="left" vertical="center" wrapText="1"/>
      <protection hidden="1"/>
    </xf>
    <xf numFmtId="0" fontId="31" fillId="4" borderId="18" xfId="0" applyFont="1" applyFill="1" applyBorder="1" applyAlignment="1" applyProtection="1">
      <alignment horizontal="left" vertical="center" wrapText="1"/>
      <protection hidden="1"/>
    </xf>
    <xf numFmtId="0" fontId="31" fillId="4" borderId="19" xfId="0" applyFont="1" applyFill="1" applyBorder="1" applyAlignment="1" applyProtection="1">
      <alignment horizontal="left" vertical="center" wrapText="1"/>
      <protection hidden="1"/>
    </xf>
    <xf numFmtId="0" fontId="33" fillId="4" borderId="6" xfId="0" applyFont="1" applyFill="1" applyBorder="1" applyAlignment="1" applyProtection="1">
      <alignment vertical="center" wrapText="1"/>
      <protection hidden="1"/>
    </xf>
    <xf numFmtId="0" fontId="33" fillId="4" borderId="7" xfId="0" applyFont="1" applyFill="1" applyBorder="1" applyAlignment="1" applyProtection="1">
      <alignment vertical="center" wrapText="1"/>
      <protection hidden="1"/>
    </xf>
    <xf numFmtId="0" fontId="8" fillId="4" borderId="7" xfId="0" applyFont="1" applyFill="1" applyBorder="1" applyAlignment="1" applyProtection="1">
      <alignment vertical="center" wrapText="1"/>
      <protection hidden="1"/>
    </xf>
    <xf numFmtId="0" fontId="8" fillId="4" borderId="17" xfId="0" applyFont="1" applyFill="1" applyBorder="1" applyAlignment="1" applyProtection="1">
      <alignment vertical="center" wrapText="1"/>
      <protection hidden="1"/>
    </xf>
    <xf numFmtId="0" fontId="8" fillId="4" borderId="5" xfId="0" applyFont="1" applyFill="1" applyBorder="1" applyAlignment="1" applyProtection="1">
      <alignment vertical="center" wrapText="1"/>
      <protection hidden="1"/>
    </xf>
    <xf numFmtId="49" fontId="9" fillId="0" borderId="7" xfId="0" applyNumberFormat="1" applyFont="1" applyBorder="1" applyAlignment="1" applyProtection="1">
      <alignment vertical="top" wrapText="1"/>
      <protection locked="0"/>
    </xf>
    <xf numFmtId="49" fontId="9" fillId="0" borderId="17" xfId="0" applyNumberFormat="1" applyFont="1" applyBorder="1" applyAlignment="1" applyProtection="1">
      <alignment vertical="top" wrapText="1"/>
      <protection locked="0"/>
    </xf>
    <xf numFmtId="49" fontId="9" fillId="0" borderId="5" xfId="0" applyNumberFormat="1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14" fontId="9" fillId="4" borderId="7" xfId="0" applyNumberFormat="1" applyFont="1" applyFill="1" applyBorder="1" applyAlignment="1" applyProtection="1">
      <alignment horizontal="left" vertical="center" wrapText="1"/>
      <protection hidden="1"/>
    </xf>
    <xf numFmtId="14" fontId="9" fillId="4" borderId="5" xfId="0" applyNumberFormat="1" applyFont="1" applyFill="1" applyBorder="1" applyAlignment="1" applyProtection="1">
      <alignment horizontal="left" vertical="center" wrapText="1"/>
      <protection hidden="1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16" fillId="3" borderId="6" xfId="0" applyFont="1" applyFill="1" applyBorder="1" applyAlignment="1" applyProtection="1">
      <alignment horizontal="center" vertical="top" wrapText="1"/>
      <protection hidden="1"/>
    </xf>
    <xf numFmtId="0" fontId="16" fillId="3" borderId="48" xfId="0" applyFont="1" applyFill="1" applyBorder="1" applyAlignment="1" applyProtection="1">
      <alignment horizontal="center" vertical="top" wrapText="1"/>
      <protection hidden="1"/>
    </xf>
    <xf numFmtId="0" fontId="16" fillId="3" borderId="5" xfId="0" applyFont="1" applyFill="1" applyBorder="1" applyAlignment="1" applyProtection="1">
      <alignment horizontal="center" vertical="top" wrapText="1"/>
      <protection hidden="1"/>
    </xf>
    <xf numFmtId="0" fontId="16" fillId="3" borderId="7" xfId="0" applyFont="1" applyFill="1" applyBorder="1" applyAlignment="1" applyProtection="1">
      <alignment horizontal="center" vertical="top" wrapText="1"/>
      <protection hidden="1"/>
    </xf>
    <xf numFmtId="0" fontId="9" fillId="3" borderId="38" xfId="0" applyFont="1" applyFill="1" applyBorder="1" applyAlignment="1" applyProtection="1">
      <alignment horizontal="center" vertical="top" wrapText="1"/>
      <protection hidden="1"/>
    </xf>
    <xf numFmtId="49" fontId="23" fillId="4" borderId="0" xfId="0" applyNumberFormat="1" applyFont="1" applyFill="1" applyAlignment="1" applyProtection="1">
      <alignment horizontal="center" vertical="center" wrapText="1"/>
      <protection hidden="1"/>
    </xf>
    <xf numFmtId="49" fontId="23" fillId="4" borderId="28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0" xfId="0" applyFont="1" applyFill="1" applyAlignment="1" applyProtection="1">
      <alignment horizontal="right" vertical="center"/>
      <protection hidden="1"/>
    </xf>
    <xf numFmtId="0" fontId="23" fillId="7" borderId="23" xfId="0" applyFont="1" applyFill="1" applyBorder="1" applyAlignment="1" applyProtection="1">
      <alignment horizontal="left" vertical="center" wrapText="1"/>
      <protection hidden="1"/>
    </xf>
    <xf numFmtId="0" fontId="23" fillId="7" borderId="24" xfId="0" applyFont="1" applyFill="1" applyBorder="1" applyAlignment="1" applyProtection="1">
      <alignment horizontal="left" vertical="center" wrapText="1"/>
      <protection hidden="1"/>
    </xf>
    <xf numFmtId="0" fontId="23" fillId="7" borderId="25" xfId="0" applyFont="1" applyFill="1" applyBorder="1" applyAlignment="1" applyProtection="1">
      <alignment horizontal="left" vertical="center" wrapText="1"/>
      <protection hidden="1"/>
    </xf>
    <xf numFmtId="0" fontId="28" fillId="4" borderId="12" xfId="0" applyFont="1" applyFill="1" applyBorder="1" applyAlignment="1" applyProtection="1">
      <alignment wrapText="1"/>
      <protection hidden="1"/>
    </xf>
    <xf numFmtId="0" fontId="24" fillId="4" borderId="0" xfId="0" applyFont="1" applyFill="1" applyAlignment="1" applyProtection="1">
      <alignment horizontal="left" vertical="top" wrapText="1"/>
      <protection hidden="1"/>
    </xf>
    <xf numFmtId="0" fontId="22" fillId="4" borderId="0" xfId="1" applyFill="1" applyAlignment="1" applyProtection="1">
      <alignment wrapText="1"/>
      <protection locked="0"/>
    </xf>
    <xf numFmtId="0" fontId="35" fillId="4" borderId="0" xfId="0" applyFont="1" applyFill="1" applyAlignment="1" applyProtection="1">
      <alignment horizontal="right" vertical="top" wrapText="1"/>
      <protection hidden="1"/>
    </xf>
    <xf numFmtId="1" fontId="5" fillId="4" borderId="22" xfId="0" applyNumberFormat="1" applyFont="1" applyFill="1" applyBorder="1" applyAlignment="1" applyProtection="1">
      <alignment horizontal="center" vertical="center" wrapText="1"/>
      <protection hidden="1"/>
    </xf>
    <xf numFmtId="1" fontId="5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18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locked="0" hidden="1"/>
    </xf>
    <xf numFmtId="0" fontId="5" fillId="0" borderId="11" xfId="0" applyFont="1" applyBorder="1" applyAlignment="1" applyProtection="1">
      <alignment horizontal="center" vertical="center" wrapText="1"/>
      <protection locked="0" hidden="1"/>
    </xf>
    <xf numFmtId="0" fontId="5" fillId="0" borderId="20" xfId="0" applyFont="1" applyBorder="1" applyAlignment="1" applyProtection="1">
      <alignment horizontal="center" vertical="center" wrapText="1"/>
      <protection locked="0" hidden="1"/>
    </xf>
    <xf numFmtId="164" fontId="3" fillId="4" borderId="11" xfId="0" applyNumberFormat="1" applyFont="1" applyFill="1" applyBorder="1" applyAlignment="1" applyProtection="1">
      <alignment horizontal="left" vertical="center" wrapText="1"/>
      <protection hidden="1"/>
    </xf>
    <xf numFmtId="164" fontId="3" fillId="4" borderId="20" xfId="0" applyNumberFormat="1" applyFont="1" applyFill="1" applyBorder="1" applyAlignment="1" applyProtection="1">
      <alignment horizontal="left" vertical="center" wrapText="1"/>
      <protection hidden="1"/>
    </xf>
    <xf numFmtId="0" fontId="71" fillId="4" borderId="8" xfId="0" applyFont="1" applyFill="1" applyBorder="1" applyAlignment="1" applyProtection="1">
      <alignment horizontal="left" vertical="center" wrapText="1"/>
      <protection hidden="1"/>
    </xf>
    <xf numFmtId="0" fontId="71" fillId="4" borderId="18" xfId="0" applyFont="1" applyFill="1" applyBorder="1" applyAlignment="1" applyProtection="1">
      <alignment horizontal="left" vertical="center" wrapText="1"/>
      <protection hidden="1"/>
    </xf>
    <xf numFmtId="0" fontId="71" fillId="4" borderId="19" xfId="0" applyFont="1" applyFill="1" applyBorder="1" applyAlignment="1" applyProtection="1">
      <alignment horizontal="left" vertical="center" wrapText="1"/>
      <protection hidden="1"/>
    </xf>
    <xf numFmtId="0" fontId="71" fillId="6" borderId="20" xfId="0" applyFont="1" applyFill="1" applyBorder="1" applyAlignment="1" applyProtection="1">
      <alignment horizontal="left" vertical="center" wrapText="1"/>
      <protection hidden="1"/>
    </xf>
    <xf numFmtId="0" fontId="71" fillId="6" borderId="21" xfId="0" applyFont="1" applyFill="1" applyBorder="1" applyAlignment="1" applyProtection="1">
      <alignment horizontal="left" vertical="center" wrapText="1"/>
      <protection hidden="1"/>
    </xf>
    <xf numFmtId="0" fontId="71" fillId="6" borderId="22" xfId="0" applyFont="1" applyFill="1" applyBorder="1" applyAlignment="1" applyProtection="1">
      <alignment horizontal="left" vertical="center" wrapText="1"/>
      <protection hidden="1"/>
    </xf>
    <xf numFmtId="0" fontId="5" fillId="6" borderId="6" xfId="0" applyFont="1" applyFill="1" applyBorder="1" applyAlignment="1" applyProtection="1">
      <alignment horizontal="left" vertical="center" wrapText="1"/>
      <protection hidden="1"/>
    </xf>
    <xf numFmtId="0" fontId="5" fillId="6" borderId="7" xfId="0" applyFont="1" applyFill="1" applyBorder="1" applyAlignment="1" applyProtection="1">
      <alignment horizontal="left" vertical="center" wrapText="1"/>
      <protection hidden="1"/>
    </xf>
    <xf numFmtId="0" fontId="33" fillId="4" borderId="6" xfId="0" applyFont="1" applyFill="1" applyBorder="1" applyAlignment="1" applyProtection="1">
      <alignment horizontal="left" vertical="center" wrapText="1"/>
      <protection hidden="1"/>
    </xf>
    <xf numFmtId="0" fontId="33" fillId="4" borderId="7" xfId="0" applyFont="1" applyFill="1" applyBorder="1" applyAlignment="1" applyProtection="1">
      <alignment horizontal="left" vertical="center" wrapText="1"/>
      <protection hidden="1"/>
    </xf>
    <xf numFmtId="0" fontId="8" fillId="4" borderId="6" xfId="0" applyFont="1" applyFill="1" applyBorder="1" applyAlignment="1" applyProtection="1">
      <alignment vertical="center" wrapText="1"/>
      <protection hidden="1"/>
    </xf>
    <xf numFmtId="14" fontId="9" fillId="0" borderId="7" xfId="0" applyNumberFormat="1" applyFont="1" applyBorder="1" applyAlignment="1" applyProtection="1">
      <alignment vertical="top" wrapText="1"/>
      <protection locked="0"/>
    </xf>
    <xf numFmtId="14" fontId="9" fillId="0" borderId="5" xfId="0" applyNumberFormat="1" applyFont="1" applyBorder="1" applyAlignment="1" applyProtection="1">
      <alignment vertical="top" wrapText="1"/>
      <protection locked="0"/>
    </xf>
    <xf numFmtId="4" fontId="54" fillId="4" borderId="17" xfId="0" applyNumberFormat="1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left" vertical="center"/>
      <protection locked="0" hidden="1"/>
    </xf>
    <xf numFmtId="0" fontId="3" fillId="0" borderId="5" xfId="0" applyFont="1" applyBorder="1" applyAlignment="1" applyProtection="1">
      <alignment horizontal="left" vertical="center"/>
      <protection locked="0" hidden="1"/>
    </xf>
    <xf numFmtId="0" fontId="3" fillId="8" borderId="5" xfId="0" applyFont="1" applyFill="1" applyBorder="1" applyAlignment="1" applyProtection="1">
      <alignment horizontal="left" vertical="center"/>
      <protection hidden="1"/>
    </xf>
    <xf numFmtId="0" fontId="3" fillId="8" borderId="6" xfId="0" applyFont="1" applyFill="1" applyBorder="1" applyAlignment="1" applyProtection="1">
      <alignment horizontal="left" vertical="center"/>
      <protection hidden="1"/>
    </xf>
    <xf numFmtId="0" fontId="10" fillId="4" borderId="4" xfId="0" applyFont="1" applyFill="1" applyBorder="1" applyAlignment="1" applyProtection="1">
      <alignment horizontal="left" vertical="center"/>
      <protection hidden="1"/>
    </xf>
    <xf numFmtId="0" fontId="3" fillId="4" borderId="4" xfId="0" applyFont="1" applyFill="1" applyBorder="1" applyAlignment="1" applyProtection="1">
      <alignment horizontal="center" vertical="center"/>
      <protection hidden="1"/>
    </xf>
    <xf numFmtId="0" fontId="28" fillId="4" borderId="9" xfId="0" applyFont="1" applyFill="1" applyBorder="1" applyAlignment="1" applyProtection="1">
      <alignment horizontal="left" vertical="center"/>
      <protection hidden="1"/>
    </xf>
    <xf numFmtId="4" fontId="9" fillId="4" borderId="6" xfId="0" applyNumberFormat="1" applyFont="1" applyFill="1" applyBorder="1" applyAlignment="1" applyProtection="1">
      <alignment horizontal="right" vertical="center"/>
      <protection hidden="1"/>
    </xf>
    <xf numFmtId="0" fontId="3" fillId="3" borderId="7" xfId="0" applyFont="1" applyFill="1" applyBorder="1" applyAlignment="1" applyProtection="1">
      <alignment horizontal="left" vertical="center" wrapText="1"/>
      <protection hidden="1"/>
    </xf>
    <xf numFmtId="0" fontId="3" fillId="3" borderId="17" xfId="0" applyFont="1" applyFill="1" applyBorder="1" applyAlignment="1" applyProtection="1">
      <alignment horizontal="left" vertical="center" wrapText="1"/>
      <protection hidden="1"/>
    </xf>
    <xf numFmtId="0" fontId="3" fillId="3" borderId="5" xfId="0" applyFont="1" applyFill="1" applyBorder="1" applyAlignment="1" applyProtection="1">
      <alignment horizontal="left" vertical="center" wrapText="1"/>
      <protection hidden="1"/>
    </xf>
    <xf numFmtId="4" fontId="9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54" fillId="4" borderId="48" xfId="0" applyNumberFormat="1" applyFont="1" applyFill="1" applyBorder="1" applyAlignment="1">
      <alignment horizontal="right" vertical="center" wrapText="1"/>
    </xf>
    <xf numFmtId="0" fontId="6" fillId="4" borderId="11" xfId="0" applyFont="1" applyFill="1" applyBorder="1" applyAlignment="1" applyProtection="1">
      <alignment horizontal="left" vertical="center" wrapText="1"/>
      <protection hidden="1"/>
    </xf>
    <xf numFmtId="0" fontId="6" fillId="4" borderId="30" xfId="0" applyFont="1" applyFill="1" applyBorder="1" applyAlignment="1" applyProtection="1">
      <alignment horizontal="left" vertical="center" wrapText="1"/>
      <protection hidden="1"/>
    </xf>
    <xf numFmtId="0" fontId="9" fillId="3" borderId="26" xfId="0" applyFont="1" applyFill="1" applyBorder="1" applyAlignment="1" applyProtection="1">
      <alignment horizontal="left" vertical="center" wrapText="1"/>
      <protection hidden="1"/>
    </xf>
    <xf numFmtId="0" fontId="9" fillId="3" borderId="18" xfId="0" applyFont="1" applyFill="1" applyBorder="1" applyAlignment="1" applyProtection="1">
      <alignment horizontal="left" vertical="center" wrapText="1"/>
      <protection hidden="1"/>
    </xf>
    <xf numFmtId="4" fontId="79" fillId="4" borderId="6" xfId="0" applyNumberFormat="1" applyFont="1" applyFill="1" applyBorder="1" applyAlignment="1" applyProtection="1">
      <alignment horizontal="right" vertical="center" wrapText="1"/>
      <protection hidden="1"/>
    </xf>
    <xf numFmtId="1" fontId="3" fillId="3" borderId="17" xfId="0" applyNumberFormat="1" applyFont="1" applyFill="1" applyBorder="1" applyAlignment="1" applyProtection="1">
      <alignment horizontal="left" vertical="center" wrapText="1"/>
      <protection hidden="1"/>
    </xf>
    <xf numFmtId="0" fontId="3" fillId="3" borderId="7" xfId="0" applyFont="1" applyFill="1" applyBorder="1" applyAlignment="1" applyProtection="1">
      <alignment horizontal="left" vertical="center"/>
      <protection hidden="1"/>
    </xf>
    <xf numFmtId="0" fontId="3" fillId="3" borderId="17" xfId="0" applyFont="1" applyFill="1" applyBorder="1" applyAlignment="1" applyProtection="1">
      <alignment horizontal="left" vertical="center"/>
      <protection hidden="1"/>
    </xf>
    <xf numFmtId="4" fontId="19" fillId="4" borderId="48" xfId="0" applyNumberFormat="1" applyFont="1" applyFill="1" applyBorder="1" applyAlignment="1" applyProtection="1">
      <alignment horizontal="right" vertical="center"/>
      <protection hidden="1"/>
    </xf>
    <xf numFmtId="0" fontId="9" fillId="3" borderId="50" xfId="0" applyFont="1" applyFill="1" applyBorder="1" applyAlignment="1" applyProtection="1">
      <alignment horizontal="center" vertical="top" wrapText="1"/>
      <protection hidden="1"/>
    </xf>
    <xf numFmtId="0" fontId="9" fillId="3" borderId="49" xfId="0" applyFont="1" applyFill="1" applyBorder="1" applyAlignment="1" applyProtection="1">
      <alignment horizontal="center" vertical="top" wrapText="1"/>
      <protection hidden="1"/>
    </xf>
    <xf numFmtId="4" fontId="54" fillId="4" borderId="48" xfId="0" applyNumberFormat="1" applyFont="1" applyFill="1" applyBorder="1" applyAlignment="1" applyProtection="1">
      <alignment horizontal="right" vertical="center"/>
      <protection hidden="1"/>
    </xf>
    <xf numFmtId="0" fontId="9" fillId="3" borderId="6" xfId="0" applyFont="1" applyFill="1" applyBorder="1" applyAlignment="1" applyProtection="1">
      <alignment horizontal="left" vertical="center" wrapText="1"/>
      <protection hidden="1"/>
    </xf>
    <xf numFmtId="0" fontId="16" fillId="3" borderId="17" xfId="0" applyFont="1" applyFill="1" applyBorder="1" applyAlignment="1" applyProtection="1">
      <alignment horizontal="center" vertical="top" wrapText="1"/>
      <protection hidden="1"/>
    </xf>
    <xf numFmtId="0" fontId="16" fillId="3" borderId="51" xfId="0" applyFont="1" applyFill="1" applyBorder="1" applyAlignment="1" applyProtection="1">
      <alignment horizontal="center" vertical="top" wrapText="1"/>
      <protection hidden="1"/>
    </xf>
    <xf numFmtId="4" fontId="80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79" fillId="3" borderId="6" xfId="0" applyNumberFormat="1" applyFont="1" applyFill="1" applyBorder="1" applyAlignment="1" applyProtection="1">
      <alignment horizontal="right" vertical="center"/>
      <protection hidden="1"/>
    </xf>
    <xf numFmtId="0" fontId="3" fillId="4" borderId="5" xfId="0" applyFont="1" applyFill="1" applyBorder="1" applyAlignment="1" applyProtection="1">
      <alignment horizontal="left" vertical="center" wrapText="1"/>
      <protection hidden="1"/>
    </xf>
    <xf numFmtId="0" fontId="3" fillId="4" borderId="7" xfId="0" applyFont="1" applyFill="1" applyBorder="1" applyAlignment="1" applyProtection="1">
      <alignment horizontal="right" vertical="center" wrapText="1"/>
      <protection hidden="1"/>
    </xf>
    <xf numFmtId="0" fontId="3" fillId="4" borderId="17" xfId="0" applyFont="1" applyFill="1" applyBorder="1" applyAlignment="1" applyProtection="1">
      <alignment horizontal="right" vertical="center" wrapText="1"/>
      <protection hidden="1"/>
    </xf>
    <xf numFmtId="49" fontId="3" fillId="4" borderId="17" xfId="0" applyNumberFormat="1" applyFont="1" applyFill="1" applyBorder="1" applyAlignment="1" applyProtection="1">
      <alignment vertical="center" wrapText="1"/>
      <protection hidden="1"/>
    </xf>
    <xf numFmtId="49" fontId="3" fillId="4" borderId="5" xfId="0" applyNumberFormat="1" applyFont="1" applyFill="1" applyBorder="1" applyAlignment="1" applyProtection="1">
      <alignment vertical="center" wrapText="1"/>
      <protection hidden="1"/>
    </xf>
    <xf numFmtId="4" fontId="10" fillId="4" borderId="6" xfId="0" applyNumberFormat="1" applyFont="1" applyFill="1" applyBorder="1" applyAlignment="1" applyProtection="1">
      <alignment horizontal="right" vertical="center"/>
      <protection hidden="1"/>
    </xf>
    <xf numFmtId="4" fontId="19" fillId="3" borderId="6" xfId="0" applyNumberFormat="1" applyFont="1" applyFill="1" applyBorder="1" applyAlignment="1" applyProtection="1">
      <alignment horizontal="right" vertical="center"/>
      <protection hidden="1"/>
    </xf>
    <xf numFmtId="4" fontId="82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4" fontId="79" fillId="9" borderId="6" xfId="0" applyNumberFormat="1" applyFont="1" applyFill="1" applyBorder="1" applyAlignment="1" applyProtection="1">
      <alignment horizontal="right" vertical="center" wrapText="1"/>
      <protection hidden="1"/>
    </xf>
    <xf numFmtId="4" fontId="9" fillId="4" borderId="7" xfId="0" applyNumberFormat="1" applyFont="1" applyFill="1" applyBorder="1" applyAlignment="1" applyProtection="1">
      <alignment horizontal="right" vertical="center"/>
      <protection hidden="1"/>
    </xf>
    <xf numFmtId="4" fontId="9" fillId="4" borderId="5" xfId="0" applyNumberFormat="1" applyFont="1" applyFill="1" applyBorder="1" applyAlignment="1" applyProtection="1">
      <alignment horizontal="right" vertical="center"/>
      <protection hidden="1"/>
    </xf>
    <xf numFmtId="1" fontId="3" fillId="3" borderId="5" xfId="0" applyNumberFormat="1" applyFont="1" applyFill="1" applyBorder="1" applyAlignment="1" applyProtection="1">
      <alignment horizontal="left" vertical="center" wrapText="1"/>
      <protection hidden="1"/>
    </xf>
    <xf numFmtId="0" fontId="31" fillId="6" borderId="8" xfId="0" applyFont="1" applyFill="1" applyBorder="1" applyAlignment="1" applyProtection="1">
      <alignment horizontal="left" vertical="top" wrapText="1"/>
      <protection hidden="1"/>
    </xf>
    <xf numFmtId="0" fontId="31" fillId="6" borderId="18" xfId="0" applyFont="1" applyFill="1" applyBorder="1" applyAlignment="1" applyProtection="1">
      <alignment horizontal="left" vertical="top" wrapText="1"/>
      <protection hidden="1"/>
    </xf>
    <xf numFmtId="0" fontId="31" fillId="6" borderId="19" xfId="0" applyFont="1" applyFill="1" applyBorder="1" applyAlignment="1" applyProtection="1">
      <alignment horizontal="left" vertical="top" wrapText="1"/>
      <protection hidden="1"/>
    </xf>
    <xf numFmtId="0" fontId="9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29" fillId="4" borderId="10" xfId="0" applyFont="1" applyFill="1" applyBorder="1" applyAlignment="1" applyProtection="1">
      <alignment horizontal="left" vertical="center" wrapText="1"/>
      <protection hidden="1"/>
    </xf>
    <xf numFmtId="0" fontId="29" fillId="4" borderId="10" xfId="0" applyFont="1" applyFill="1" applyBorder="1" applyAlignment="1" applyProtection="1">
      <alignment horizontal="left" vertical="center"/>
      <protection hidden="1"/>
    </xf>
    <xf numFmtId="4" fontId="9" fillId="2" borderId="17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7" xfId="0" applyNumberFormat="1" applyFont="1" applyFill="1" applyBorder="1" applyAlignment="1" applyProtection="1">
      <alignment vertical="center"/>
      <protection hidden="1"/>
    </xf>
    <xf numFmtId="4" fontId="19" fillId="3" borderId="17" xfId="0" applyNumberFormat="1" applyFont="1" applyFill="1" applyBorder="1" applyAlignment="1" applyProtection="1">
      <alignment vertical="center"/>
      <protection hidden="1"/>
    </xf>
    <xf numFmtId="4" fontId="19" fillId="3" borderId="5" xfId="0" applyNumberFormat="1" applyFont="1" applyFill="1" applyBorder="1" applyAlignment="1" applyProtection="1">
      <alignment vertical="center"/>
      <protection hidden="1"/>
    </xf>
    <xf numFmtId="4" fontId="9" fillId="4" borderId="7" xfId="0" applyNumberFormat="1" applyFont="1" applyFill="1" applyBorder="1" applyAlignment="1" applyProtection="1">
      <alignment vertical="center"/>
      <protection hidden="1"/>
    </xf>
    <xf numFmtId="4" fontId="9" fillId="4" borderId="17" xfId="0" applyNumberFormat="1" applyFont="1" applyFill="1" applyBorder="1" applyAlignment="1" applyProtection="1">
      <alignment vertical="center"/>
      <protection hidden="1"/>
    </xf>
    <xf numFmtId="4" fontId="9" fillId="4" borderId="5" xfId="0" applyNumberFormat="1" applyFont="1" applyFill="1" applyBorder="1" applyAlignment="1" applyProtection="1">
      <alignment vertical="center"/>
      <protection hidden="1"/>
    </xf>
    <xf numFmtId="0" fontId="28" fillId="4" borderId="9" xfId="0" applyFont="1" applyFill="1" applyBorder="1" applyAlignment="1" applyProtection="1">
      <alignment horizontal="center" vertical="center" wrapText="1"/>
      <protection hidden="1"/>
    </xf>
    <xf numFmtId="4" fontId="55" fillId="4" borderId="6" xfId="0" applyNumberFormat="1" applyFont="1" applyFill="1" applyBorder="1" applyAlignment="1" applyProtection="1">
      <alignment horizontal="right" vertical="center"/>
      <protection hidden="1"/>
    </xf>
    <xf numFmtId="4" fontId="81" fillId="4" borderId="6" xfId="0" applyNumberFormat="1" applyFont="1" applyFill="1" applyBorder="1" applyAlignment="1" applyProtection="1">
      <alignment horizontal="right" vertical="center"/>
      <protection hidden="1"/>
    </xf>
    <xf numFmtId="0" fontId="3" fillId="4" borderId="0" xfId="0" applyFont="1" applyFill="1" applyAlignment="1" applyProtection="1">
      <alignment vertical="center"/>
      <protection hidden="1"/>
    </xf>
    <xf numFmtId="0" fontId="28" fillId="4" borderId="14" xfId="0" applyFont="1" applyFill="1" applyBorder="1" applyAlignment="1" applyProtection="1">
      <alignment vertical="center" wrapText="1"/>
      <protection hidden="1"/>
    </xf>
    <xf numFmtId="0" fontId="28" fillId="4" borderId="15" xfId="0" applyFont="1" applyFill="1" applyBorder="1" applyAlignment="1" applyProtection="1">
      <alignment vertical="center" wrapText="1"/>
      <protection hidden="1"/>
    </xf>
    <xf numFmtId="0" fontId="28" fillId="4" borderId="16" xfId="0" applyFont="1" applyFill="1" applyBorder="1" applyAlignment="1" applyProtection="1">
      <alignment vertical="center" wrapText="1"/>
      <protection hidden="1"/>
    </xf>
    <xf numFmtId="0" fontId="3" fillId="8" borderId="6" xfId="0" applyFont="1" applyFill="1" applyBorder="1" applyAlignment="1" applyProtection="1">
      <alignment vertical="center"/>
      <protection hidden="1"/>
    </xf>
    <xf numFmtId="14" fontId="3" fillId="2" borderId="6" xfId="0" applyNumberFormat="1" applyFont="1" applyFill="1" applyBorder="1" applyAlignment="1" applyProtection="1">
      <alignment horizontal="left" vertical="center"/>
      <protection locked="0" hidden="1"/>
    </xf>
    <xf numFmtId="0" fontId="3" fillId="8" borderId="7" xfId="0" applyFont="1" applyFill="1" applyBorder="1" applyAlignment="1" applyProtection="1">
      <alignment horizontal="left" vertical="center"/>
      <protection hidden="1"/>
    </xf>
    <xf numFmtId="0" fontId="3" fillId="8" borderId="17" xfId="0" applyFont="1" applyFill="1" applyBorder="1" applyAlignment="1" applyProtection="1">
      <alignment horizontal="left" vertical="center"/>
      <protection hidden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17" xfId="0" applyFont="1" applyBorder="1" applyAlignment="1" applyProtection="1">
      <alignment horizontal="center" vertical="center"/>
      <protection locked="0" hidden="1"/>
    </xf>
    <xf numFmtId="0" fontId="3" fillId="2" borderId="5" xfId="0" applyFont="1" applyFill="1" applyBorder="1" applyAlignment="1" applyProtection="1">
      <alignment horizontal="left" vertical="center"/>
      <protection locked="0" hidden="1"/>
    </xf>
    <xf numFmtId="0" fontId="3" fillId="2" borderId="6" xfId="0" applyFont="1" applyFill="1" applyBorder="1" applyAlignment="1" applyProtection="1">
      <alignment horizontal="left" vertical="center"/>
      <protection locked="0" hidden="1"/>
    </xf>
    <xf numFmtId="4" fontId="54" fillId="4" borderId="52" xfId="0" applyNumberFormat="1" applyFont="1" applyFill="1" applyBorder="1" applyAlignment="1" applyProtection="1">
      <alignment horizontal="right" vertical="center"/>
      <protection hidden="1"/>
    </xf>
    <xf numFmtId="4" fontId="54" fillId="4" borderId="52" xfId="0" applyNumberFormat="1" applyFont="1" applyFill="1" applyBorder="1" applyAlignment="1">
      <alignment horizontal="right" vertical="center" wrapText="1"/>
    </xf>
    <xf numFmtId="4" fontId="55" fillId="4" borderId="0" xfId="0" applyNumberFormat="1" applyFont="1" applyFill="1" applyAlignment="1" applyProtection="1">
      <alignment horizontal="right" vertical="center"/>
      <protection hidden="1"/>
    </xf>
    <xf numFmtId="1" fontId="9" fillId="9" borderId="18" xfId="0" applyNumberFormat="1" applyFont="1" applyFill="1" applyBorder="1" applyAlignment="1" applyProtection="1">
      <alignment horizontal="center" vertical="top" wrapText="1"/>
      <protection hidden="1"/>
    </xf>
    <xf numFmtId="4" fontId="8" fillId="4" borderId="0" xfId="0" applyNumberFormat="1" applyFont="1" applyFill="1" applyAlignment="1" applyProtection="1">
      <alignment horizontal="right" vertical="center"/>
      <protection hidden="1"/>
    </xf>
    <xf numFmtId="0" fontId="16" fillId="3" borderId="52" xfId="0" applyFont="1" applyFill="1" applyBorder="1" applyAlignment="1" applyProtection="1">
      <alignment horizontal="center" vertical="top" wrapText="1"/>
      <protection hidden="1"/>
    </xf>
    <xf numFmtId="0" fontId="9" fillId="3" borderId="52" xfId="0" applyFont="1" applyFill="1" applyBorder="1" applyAlignment="1" applyProtection="1">
      <alignment horizontal="center" vertical="top" wrapText="1"/>
      <protection hidden="1"/>
    </xf>
    <xf numFmtId="0" fontId="6" fillId="4" borderId="11" xfId="0" applyFont="1" applyFill="1" applyBorder="1" applyAlignment="1" applyProtection="1">
      <alignment vertical="center" wrapText="1"/>
      <protection hidden="1"/>
    </xf>
    <xf numFmtId="0" fontId="52" fillId="4" borderId="11" xfId="0" applyFont="1" applyFill="1" applyBorder="1" applyAlignment="1" applyProtection="1">
      <alignment vertical="center" wrapText="1"/>
      <protection hidden="1"/>
    </xf>
    <xf numFmtId="0" fontId="52" fillId="4" borderId="30" xfId="0" applyFont="1" applyFill="1" applyBorder="1" applyAlignment="1" applyProtection="1">
      <alignment vertical="center" wrapText="1"/>
      <protection hidden="1"/>
    </xf>
    <xf numFmtId="4" fontId="19" fillId="4" borderId="52" xfId="0" applyNumberFormat="1" applyFont="1" applyFill="1" applyBorder="1" applyAlignment="1" applyProtection="1">
      <alignment horizontal="right" vertical="center"/>
      <protection hidden="1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7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29" fillId="4" borderId="10" xfId="0" applyFont="1" applyFill="1" applyBorder="1" applyAlignment="1" applyProtection="1">
      <alignment wrapText="1"/>
      <protection hidden="1"/>
    </xf>
    <xf numFmtId="0" fontId="29" fillId="4" borderId="0" xfId="0" applyFont="1" applyFill="1" applyAlignment="1" applyProtection="1">
      <alignment wrapText="1"/>
      <protection hidden="1"/>
    </xf>
    <xf numFmtId="0" fontId="53" fillId="4" borderId="0" xfId="0" applyFont="1" applyFill="1" applyAlignment="1" applyProtection="1">
      <alignment horizontal="right" wrapText="1"/>
      <protection hidden="1"/>
    </xf>
    <xf numFmtId="0" fontId="53" fillId="4" borderId="0" xfId="0" applyFont="1" applyFill="1" applyAlignment="1" applyProtection="1">
      <alignment horizontal="left"/>
      <protection hidden="1"/>
    </xf>
    <xf numFmtId="0" fontId="53" fillId="4" borderId="0" xfId="0" applyFont="1" applyFill="1" applyAlignment="1" applyProtection="1">
      <alignment horizontal="left" wrapText="1"/>
      <protection hidden="1"/>
    </xf>
    <xf numFmtId="14" fontId="9" fillId="0" borderId="7" xfId="0" applyNumberFormat="1" applyFont="1" applyBorder="1" applyAlignment="1" applyProtection="1">
      <alignment horizontal="left" vertical="top" wrapText="1"/>
      <protection locked="0"/>
    </xf>
    <xf numFmtId="14" fontId="9" fillId="0" borderId="17" xfId="0" applyNumberFormat="1" applyFont="1" applyBorder="1" applyAlignment="1" applyProtection="1">
      <alignment horizontal="left" vertical="top" wrapText="1"/>
      <protection locked="0"/>
    </xf>
    <xf numFmtId="14" fontId="9" fillId="0" borderId="5" xfId="0" applyNumberFormat="1" applyFont="1" applyBorder="1" applyAlignment="1" applyProtection="1">
      <alignment horizontal="left" vertical="top" wrapText="1"/>
      <protection locked="0"/>
    </xf>
    <xf numFmtId="4" fontId="13" fillId="0" borderId="7" xfId="0" applyNumberFormat="1" applyFont="1" applyBorder="1" applyAlignment="1" applyProtection="1">
      <alignment horizontal="center" vertical="center" wrapText="1"/>
      <protection locked="0"/>
    </xf>
    <xf numFmtId="4" fontId="13" fillId="0" borderId="5" xfId="0" applyNumberFormat="1" applyFont="1" applyBorder="1" applyAlignment="1" applyProtection="1">
      <alignment horizontal="center" vertical="center" wrapText="1"/>
      <protection locked="0"/>
    </xf>
    <xf numFmtId="4" fontId="9" fillId="0" borderId="7" xfId="0" applyNumberFormat="1" applyFont="1" applyBorder="1" applyAlignment="1" applyProtection="1">
      <alignment horizontal="center" vertical="center" wrapText="1"/>
      <protection locked="0"/>
    </xf>
    <xf numFmtId="4" fontId="9" fillId="0" borderId="17" xfId="0" applyNumberFormat="1" applyFont="1" applyBorder="1" applyAlignment="1" applyProtection="1">
      <alignment horizontal="center" vertical="center" wrapText="1"/>
      <protection locked="0"/>
    </xf>
    <xf numFmtId="4" fontId="9" fillId="0" borderId="5" xfId="0" applyNumberFormat="1" applyFont="1" applyBorder="1" applyAlignment="1" applyProtection="1">
      <alignment horizontal="center" vertical="center" wrapText="1"/>
      <protection locked="0"/>
    </xf>
    <xf numFmtId="14" fontId="13" fillId="4" borderId="7" xfId="0" applyNumberFormat="1" applyFont="1" applyFill="1" applyBorder="1" applyAlignment="1" applyProtection="1">
      <alignment vertical="center" wrapText="1"/>
      <protection hidden="1"/>
    </xf>
    <xf numFmtId="14" fontId="13" fillId="4" borderId="5" xfId="0" applyNumberFormat="1" applyFont="1" applyFill="1" applyBorder="1" applyAlignment="1" applyProtection="1">
      <alignment vertical="center" wrapText="1"/>
      <protection hidden="1"/>
    </xf>
    <xf numFmtId="0" fontId="28" fillId="4" borderId="9" xfId="0" applyFont="1" applyFill="1" applyBorder="1" applyAlignment="1" applyProtection="1">
      <alignment horizontal="left" vertical="center" wrapText="1"/>
      <protection hidden="1"/>
    </xf>
    <xf numFmtId="0" fontId="13" fillId="4" borderId="7" xfId="0" applyFont="1" applyFill="1" applyBorder="1" applyAlignment="1" applyProtection="1">
      <alignment vertical="center" wrapText="1"/>
      <protection hidden="1"/>
    </xf>
    <xf numFmtId="0" fontId="13" fillId="4" borderId="17" xfId="0" applyFont="1" applyFill="1" applyBorder="1" applyAlignment="1" applyProtection="1">
      <alignment vertical="center" wrapText="1"/>
      <protection hidden="1"/>
    </xf>
    <xf numFmtId="0" fontId="13" fillId="4" borderId="5" xfId="0" applyFont="1" applyFill="1" applyBorder="1" applyAlignment="1" applyProtection="1">
      <alignment vertical="center" wrapText="1"/>
      <protection hidden="1"/>
    </xf>
    <xf numFmtId="0" fontId="13" fillId="4" borderId="7" xfId="0" applyFont="1" applyFill="1" applyBorder="1" applyAlignment="1" applyProtection="1">
      <alignment horizontal="left" vertical="center" wrapText="1"/>
      <protection hidden="1"/>
    </xf>
    <xf numFmtId="0" fontId="13" fillId="4" borderId="17" xfId="0" applyFont="1" applyFill="1" applyBorder="1" applyAlignment="1" applyProtection="1">
      <alignment horizontal="left" vertical="center" wrapText="1"/>
      <protection hidden="1"/>
    </xf>
    <xf numFmtId="0" fontId="13" fillId="4" borderId="5" xfId="0" applyFont="1" applyFill="1" applyBorder="1" applyAlignment="1" applyProtection="1">
      <alignment horizontal="left" vertical="center" wrapText="1"/>
      <protection hidden="1"/>
    </xf>
    <xf numFmtId="49" fontId="9" fillId="2" borderId="6" xfId="0" applyNumberFormat="1" applyFont="1" applyFill="1" applyBorder="1" applyAlignment="1" applyProtection="1">
      <alignment horizontal="left" vertical="top" wrapText="1"/>
      <protection locked="0"/>
    </xf>
    <xf numFmtId="49" fontId="9" fillId="2" borderId="7" xfId="0" applyNumberFormat="1" applyFont="1" applyFill="1" applyBorder="1" applyAlignment="1" applyProtection="1">
      <alignment horizontal="left" vertical="top" wrapText="1"/>
      <protection locked="0"/>
    </xf>
    <xf numFmtId="0" fontId="3" fillId="2" borderId="17" xfId="0" applyFont="1" applyFill="1" applyBorder="1" applyAlignment="1" applyProtection="1">
      <alignment horizontal="left" vertical="center"/>
      <protection locked="0" hidden="1"/>
    </xf>
    <xf numFmtId="0" fontId="110" fillId="4" borderId="9" xfId="0" applyFont="1" applyFill="1" applyBorder="1" applyAlignment="1" applyProtection="1">
      <alignment horizontal="center" vertical="center"/>
      <protection hidden="1"/>
    </xf>
    <xf numFmtId="0" fontId="28" fillId="4" borderId="9" xfId="0" applyFont="1" applyFill="1" applyBorder="1" applyAlignment="1" applyProtection="1">
      <alignment horizontal="center" vertical="center"/>
      <protection hidden="1"/>
    </xf>
    <xf numFmtId="4" fontId="87" fillId="3" borderId="6" xfId="0" applyNumberFormat="1" applyFont="1" applyFill="1" applyBorder="1" applyAlignment="1" applyProtection="1">
      <alignment horizontal="right" vertical="center"/>
      <protection hidden="1"/>
    </xf>
    <xf numFmtId="4" fontId="87" fillId="9" borderId="6" xfId="0" applyNumberFormat="1" applyFont="1" applyFill="1" applyBorder="1" applyAlignment="1" applyProtection="1">
      <alignment horizontal="right" vertical="center" wrapText="1"/>
      <protection hidden="1"/>
    </xf>
    <xf numFmtId="4" fontId="93" fillId="3" borderId="6" xfId="0" applyNumberFormat="1" applyFont="1" applyFill="1" applyBorder="1" applyAlignment="1" applyProtection="1">
      <alignment horizontal="right" vertical="center"/>
      <protection hidden="1"/>
    </xf>
    <xf numFmtId="4" fontId="88" fillId="4" borderId="6" xfId="0" applyNumberFormat="1" applyFont="1" applyFill="1" applyBorder="1" applyAlignment="1" applyProtection="1">
      <alignment horizontal="right" vertical="center"/>
      <protection hidden="1"/>
    </xf>
    <xf numFmtId="4" fontId="88" fillId="4" borderId="7" xfId="0" applyNumberFormat="1" applyFont="1" applyFill="1" applyBorder="1" applyAlignment="1" applyProtection="1">
      <alignment horizontal="right" vertical="center"/>
      <protection hidden="1"/>
    </xf>
    <xf numFmtId="4" fontId="88" fillId="4" borderId="5" xfId="0" applyNumberFormat="1" applyFont="1" applyFill="1" applyBorder="1" applyAlignment="1" applyProtection="1">
      <alignment horizontal="right" vertical="center"/>
      <protection hidden="1"/>
    </xf>
    <xf numFmtId="4" fontId="89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3" fillId="4" borderId="6" xfId="0" applyNumberFormat="1" applyFont="1" applyFill="1" applyBorder="1" applyAlignment="1" applyProtection="1">
      <alignment horizontal="right" vertical="center"/>
      <protection hidden="1"/>
    </xf>
    <xf numFmtId="4" fontId="90" fillId="4" borderId="6" xfId="0" applyNumberFormat="1" applyFont="1" applyFill="1" applyBorder="1" applyAlignment="1" applyProtection="1">
      <alignment horizontal="right" vertical="center"/>
      <protection hidden="1"/>
    </xf>
    <xf numFmtId="4" fontId="91" fillId="4" borderId="6" xfId="0" applyNumberFormat="1" applyFont="1" applyFill="1" applyBorder="1" applyAlignment="1" applyProtection="1">
      <alignment horizontal="right" vertical="center"/>
      <protection hidden="1"/>
    </xf>
    <xf numFmtId="4" fontId="92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5" fillId="4" borderId="6" xfId="0" applyNumberFormat="1" applyFont="1" applyFill="1" applyBorder="1" applyAlignment="1" applyProtection="1">
      <alignment horizontal="right" vertical="center"/>
      <protection hidden="1"/>
    </xf>
    <xf numFmtId="4" fontId="86" fillId="4" borderId="6" xfId="0" applyNumberFormat="1" applyFont="1" applyFill="1" applyBorder="1" applyAlignment="1" applyProtection="1">
      <alignment horizontal="right" vertical="center"/>
      <protection hidden="1"/>
    </xf>
    <xf numFmtId="4" fontId="87" fillId="4" borderId="6" xfId="0" applyNumberFormat="1" applyFont="1" applyFill="1" applyBorder="1" applyAlignment="1" applyProtection="1">
      <alignment horizontal="right" vertical="center" wrapText="1"/>
      <protection hidden="1"/>
    </xf>
    <xf numFmtId="4" fontId="83" fillId="4" borderId="7" xfId="0" applyNumberFormat="1" applyFont="1" applyFill="1" applyBorder="1" applyAlignment="1" applyProtection="1">
      <alignment horizontal="right" vertical="center"/>
      <protection hidden="1"/>
    </xf>
    <xf numFmtId="4" fontId="83" fillId="4" borderId="5" xfId="0" applyNumberFormat="1" applyFont="1" applyFill="1" applyBorder="1" applyAlignment="1" applyProtection="1">
      <alignment horizontal="right" vertical="center"/>
      <protection hidden="1"/>
    </xf>
    <xf numFmtId="4" fontId="84" fillId="4" borderId="6" xfId="0" applyNumberFormat="1" applyFont="1" applyFill="1" applyBorder="1" applyAlignment="1" applyProtection="1">
      <alignment horizontal="right" vertical="center" wrapText="1"/>
      <protection hidden="1"/>
    </xf>
    <xf numFmtId="0" fontId="14" fillId="4" borderId="30" xfId="0" applyFont="1" applyFill="1" applyBorder="1" applyAlignment="1" applyProtection="1">
      <alignment horizontal="left" vertical="center" wrapText="1"/>
      <protection hidden="1"/>
    </xf>
    <xf numFmtId="0" fontId="14" fillId="3" borderId="7" xfId="0" applyFont="1" applyFill="1" applyBorder="1" applyAlignment="1" applyProtection="1">
      <alignment horizontal="center" vertical="top" wrapText="1"/>
      <protection hidden="1"/>
    </xf>
    <xf numFmtId="0" fontId="14" fillId="3" borderId="17" xfId="0" applyFont="1" applyFill="1" applyBorder="1" applyAlignment="1" applyProtection="1">
      <alignment horizontal="center" vertical="top" wrapText="1"/>
      <protection hidden="1"/>
    </xf>
    <xf numFmtId="0" fontId="14" fillId="3" borderId="47" xfId="0" applyFont="1" applyFill="1" applyBorder="1" applyAlignment="1" applyProtection="1">
      <alignment horizontal="center" vertical="top" wrapText="1"/>
      <protection hidden="1"/>
    </xf>
    <xf numFmtId="0" fontId="13" fillId="3" borderId="7" xfId="0" applyFont="1" applyFill="1" applyBorder="1" applyAlignment="1" applyProtection="1">
      <alignment horizontal="center" vertical="top" wrapText="1"/>
      <protection hidden="1"/>
    </xf>
    <xf numFmtId="0" fontId="13" fillId="3" borderId="5" xfId="0" applyFont="1" applyFill="1" applyBorder="1" applyAlignment="1" applyProtection="1">
      <alignment horizontal="center" vertical="top" wrapText="1"/>
      <protection hidden="1"/>
    </xf>
    <xf numFmtId="0" fontId="13" fillId="3" borderId="47" xfId="0" applyFont="1" applyFill="1" applyBorder="1" applyAlignment="1" applyProtection="1">
      <alignment horizontal="center" vertical="top" wrapText="1"/>
      <protection hidden="1"/>
    </xf>
    <xf numFmtId="0" fontId="13" fillId="3" borderId="17" xfId="0" applyFont="1" applyFill="1" applyBorder="1" applyAlignment="1" applyProtection="1">
      <alignment horizontal="center" vertical="top" wrapText="1"/>
      <protection hidden="1"/>
    </xf>
    <xf numFmtId="4" fontId="14" fillId="4" borderId="7" xfId="0" applyNumberFormat="1" applyFont="1" applyFill="1" applyBorder="1" applyAlignment="1" applyProtection="1">
      <alignment horizontal="right" vertical="center"/>
      <protection hidden="1"/>
    </xf>
    <xf numFmtId="4" fontId="14" fillId="4" borderId="5" xfId="0" applyNumberFormat="1" applyFont="1" applyFill="1" applyBorder="1" applyAlignment="1" applyProtection="1">
      <alignment horizontal="right" vertical="center"/>
      <protection hidden="1"/>
    </xf>
    <xf numFmtId="4" fontId="75" fillId="4" borderId="7" xfId="0" applyNumberFormat="1" applyFont="1" applyFill="1" applyBorder="1" applyAlignment="1" applyProtection="1">
      <alignment horizontal="right" vertical="center"/>
      <protection hidden="1"/>
    </xf>
    <xf numFmtId="4" fontId="75" fillId="4" borderId="47" xfId="0" applyNumberFormat="1" applyFont="1" applyFill="1" applyBorder="1" applyAlignment="1" applyProtection="1">
      <alignment horizontal="right" vertical="center"/>
      <protection hidden="1"/>
    </xf>
    <xf numFmtId="4" fontId="14" fillId="4" borderId="17" xfId="0" applyNumberFormat="1" applyFont="1" applyFill="1" applyBorder="1" applyAlignment="1" applyProtection="1">
      <alignment horizontal="right" vertical="center"/>
      <protection hidden="1"/>
    </xf>
    <xf numFmtId="4" fontId="75" fillId="4" borderId="17" xfId="0" applyNumberFormat="1" applyFont="1" applyFill="1" applyBorder="1" applyAlignment="1" applyProtection="1">
      <alignment horizontal="right" vertical="center"/>
      <protection hidden="1"/>
    </xf>
    <xf numFmtId="4" fontId="18" fillId="4" borderId="0" xfId="0" applyNumberFormat="1" applyFont="1" applyFill="1" applyAlignment="1" applyProtection="1">
      <alignment horizontal="right" vertical="center"/>
      <protection hidden="1"/>
    </xf>
    <xf numFmtId="4" fontId="76" fillId="4" borderId="0" xfId="0" applyNumberFormat="1" applyFont="1" applyFill="1" applyAlignment="1" applyProtection="1">
      <alignment horizontal="right" vertical="center"/>
      <protection hidden="1"/>
    </xf>
    <xf numFmtId="4" fontId="13" fillId="4" borderId="7" xfId="0" applyNumberFormat="1" applyFont="1" applyFill="1" applyBorder="1" applyAlignment="1">
      <alignment horizontal="right" vertical="center" wrapText="1"/>
    </xf>
    <xf numFmtId="4" fontId="13" fillId="4" borderId="5" xfId="0" applyNumberFormat="1" applyFont="1" applyFill="1" applyBorder="1" applyAlignment="1">
      <alignment horizontal="right" vertical="center" wrapText="1"/>
    </xf>
    <xf numFmtId="4" fontId="75" fillId="4" borderId="7" xfId="0" applyNumberFormat="1" applyFont="1" applyFill="1" applyBorder="1" applyAlignment="1">
      <alignment horizontal="right" vertical="center" wrapText="1"/>
    </xf>
    <xf numFmtId="4" fontId="75" fillId="4" borderId="47" xfId="0" applyNumberFormat="1" applyFont="1" applyFill="1" applyBorder="1" applyAlignment="1">
      <alignment horizontal="right" vertical="center" wrapText="1"/>
    </xf>
    <xf numFmtId="4" fontId="13" fillId="4" borderId="17" xfId="0" applyNumberFormat="1" applyFont="1" applyFill="1" applyBorder="1" applyAlignment="1">
      <alignment horizontal="right" vertical="center" wrapText="1"/>
    </xf>
    <xf numFmtId="4" fontId="77" fillId="4" borderId="0" xfId="0" applyNumberFormat="1" applyFont="1" applyFill="1" applyAlignment="1" applyProtection="1">
      <alignment horizontal="right" vertical="center"/>
      <protection hidden="1"/>
    </xf>
    <xf numFmtId="4" fontId="77" fillId="4" borderId="6" xfId="0" applyNumberFormat="1" applyFont="1" applyFill="1" applyBorder="1" applyAlignment="1" applyProtection="1">
      <alignment horizontal="right" vertical="center"/>
      <protection hidden="1"/>
    </xf>
    <xf numFmtId="4" fontId="77" fillId="4" borderId="7" xfId="0" applyNumberFormat="1" applyFont="1" applyFill="1" applyBorder="1" applyAlignment="1" applyProtection="1">
      <alignment horizontal="right" vertical="center"/>
      <protection hidden="1"/>
    </xf>
    <xf numFmtId="4" fontId="77" fillId="4" borderId="45" xfId="0" applyNumberFormat="1" applyFont="1" applyFill="1" applyBorder="1" applyAlignment="1" applyProtection="1">
      <alignment horizontal="right" vertical="center"/>
      <protection hidden="1"/>
    </xf>
    <xf numFmtId="4" fontId="13" fillId="4" borderId="6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75" fillId="4" borderId="6" xfId="0" applyNumberFormat="1" applyFont="1" applyFill="1" applyBorder="1" applyAlignment="1">
      <alignment horizontal="right" vertical="center" wrapText="1"/>
    </xf>
    <xf numFmtId="4" fontId="13" fillId="4" borderId="45" xfId="0" applyNumberFormat="1" applyFont="1" applyFill="1" applyBorder="1" applyAlignment="1">
      <alignment horizontal="right" vertical="center" wrapText="1"/>
    </xf>
    <xf numFmtId="4" fontId="52" fillId="4" borderId="0" xfId="0" applyNumberFormat="1" applyFont="1" applyFill="1" applyAlignment="1">
      <alignment horizontal="right" vertical="center" wrapText="1"/>
    </xf>
    <xf numFmtId="4" fontId="76" fillId="4" borderId="0" xfId="0" applyNumberFormat="1" applyFont="1" applyFill="1" applyAlignment="1">
      <alignment horizontal="right" vertical="center" wrapText="1"/>
    </xf>
    <xf numFmtId="4" fontId="14" fillId="4" borderId="6" xfId="0" applyNumberFormat="1" applyFont="1" applyFill="1" applyBorder="1" applyAlignment="1" applyProtection="1">
      <alignment horizontal="right" vertical="center"/>
      <protection hidden="1"/>
    </xf>
    <xf numFmtId="4" fontId="75" fillId="4" borderId="6" xfId="0" applyNumberFormat="1" applyFont="1" applyFill="1" applyBorder="1" applyAlignment="1" applyProtection="1">
      <alignment horizontal="right" vertical="center"/>
      <protection hidden="1"/>
    </xf>
    <xf numFmtId="4" fontId="14" fillId="4" borderId="44" xfId="0" applyNumberFormat="1" applyFont="1" applyFill="1" applyBorder="1" applyAlignment="1" applyProtection="1">
      <alignment horizontal="right" vertical="center"/>
      <protection hidden="1"/>
    </xf>
    <xf numFmtId="0" fontId="13" fillId="3" borderId="44" xfId="0" applyFont="1" applyFill="1" applyBorder="1" applyAlignment="1" applyProtection="1">
      <alignment horizontal="center" vertical="top" wrapText="1"/>
      <protection hidden="1"/>
    </xf>
    <xf numFmtId="0" fontId="14" fillId="3" borderId="44" xfId="0" applyFont="1" applyFill="1" applyBorder="1" applyAlignment="1" applyProtection="1">
      <alignment horizontal="center" vertical="top" wrapText="1"/>
      <protection hidden="1"/>
    </xf>
    <xf numFmtId="4" fontId="77" fillId="4" borderId="5" xfId="0" applyNumberFormat="1" applyFont="1" applyFill="1" applyBorder="1" applyAlignment="1" applyProtection="1">
      <alignment horizontal="right" vertical="center"/>
      <protection hidden="1"/>
    </xf>
    <xf numFmtId="4" fontId="77" fillId="4" borderId="17" xfId="0" applyNumberFormat="1" applyFont="1" applyFill="1" applyBorder="1" applyAlignment="1" applyProtection="1">
      <alignment horizontal="right" vertical="center"/>
      <protection hidden="1"/>
    </xf>
    <xf numFmtId="4" fontId="77" fillId="4" borderId="44" xfId="0" applyNumberFormat="1" applyFont="1" applyFill="1" applyBorder="1" applyAlignment="1" applyProtection="1">
      <alignment horizontal="right" vertical="center"/>
      <protection hidden="1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4" fillId="4" borderId="45" xfId="0" applyNumberFormat="1" applyFont="1" applyFill="1" applyBorder="1" applyAlignment="1" applyProtection="1">
      <alignment horizontal="right" vertical="center"/>
      <protection hidden="1"/>
    </xf>
    <xf numFmtId="0" fontId="14" fillId="4" borderId="11" xfId="0" applyFont="1" applyFill="1" applyBorder="1" applyAlignment="1" applyProtection="1">
      <alignment vertical="center" wrapText="1"/>
      <protection hidden="1"/>
    </xf>
    <xf numFmtId="0" fontId="14" fillId="3" borderId="6" xfId="0" applyFont="1" applyFill="1" applyBorder="1" applyAlignment="1" applyProtection="1">
      <alignment horizontal="center" vertical="top" wrapText="1"/>
      <protection hidden="1"/>
    </xf>
    <xf numFmtId="0" fontId="14" fillId="3" borderId="45" xfId="0" applyFont="1" applyFill="1" applyBorder="1" applyAlignment="1" applyProtection="1">
      <alignment horizontal="center" vertical="top" wrapText="1"/>
      <protection hidden="1"/>
    </xf>
    <xf numFmtId="0" fontId="13" fillId="3" borderId="27" xfId="0" applyFont="1" applyFill="1" applyBorder="1" applyAlignment="1" applyProtection="1">
      <alignment horizontal="center" vertical="top" wrapText="1"/>
      <protection hidden="1"/>
    </xf>
    <xf numFmtId="0" fontId="13" fillId="3" borderId="38" xfId="0" applyFont="1" applyFill="1" applyBorder="1" applyAlignment="1" applyProtection="1">
      <alignment horizontal="center" vertical="top" wrapText="1"/>
      <protection hidden="1"/>
    </xf>
    <xf numFmtId="0" fontId="13" fillId="3" borderId="46" xfId="0" applyFont="1" applyFill="1" applyBorder="1" applyAlignment="1" applyProtection="1">
      <alignment horizontal="center" vertical="top" wrapText="1"/>
      <protection hidden="1"/>
    </xf>
    <xf numFmtId="0" fontId="52" fillId="4" borderId="0" xfId="0" applyFont="1" applyFill="1" applyAlignment="1" applyProtection="1">
      <alignment horizontal="left" vertical="top" wrapText="1"/>
      <protection hidden="1"/>
    </xf>
    <xf numFmtId="4" fontId="13" fillId="4" borderId="42" xfId="0" applyNumberFormat="1" applyFont="1" applyFill="1" applyBorder="1" applyAlignment="1">
      <alignment horizontal="right" vertical="center" wrapText="1"/>
    </xf>
    <xf numFmtId="4" fontId="77" fillId="4" borderId="41" xfId="0" applyNumberFormat="1" applyFont="1" applyFill="1" applyBorder="1" applyAlignment="1" applyProtection="1">
      <alignment horizontal="right" vertical="center"/>
      <protection hidden="1"/>
    </xf>
    <xf numFmtId="4" fontId="14" fillId="4" borderId="42" xfId="0" applyNumberFormat="1" applyFont="1" applyFill="1" applyBorder="1" applyAlignment="1" applyProtection="1">
      <alignment horizontal="right" vertical="center"/>
      <protection hidden="1"/>
    </xf>
    <xf numFmtId="0" fontId="13" fillId="3" borderId="43" xfId="0" applyFont="1" applyFill="1" applyBorder="1" applyAlignment="1" applyProtection="1">
      <alignment horizontal="center" vertical="top" wrapText="1"/>
      <protection hidden="1"/>
    </xf>
    <xf numFmtId="0" fontId="14" fillId="3" borderId="42" xfId="0" applyFont="1" applyFill="1" applyBorder="1" applyAlignment="1" applyProtection="1">
      <alignment horizontal="center" vertical="top" wrapText="1"/>
      <protection hidden="1"/>
    </xf>
    <xf numFmtId="4" fontId="9" fillId="0" borderId="7" xfId="0" applyNumberFormat="1" applyFont="1" applyBorder="1" applyAlignment="1" applyProtection="1">
      <alignment vertical="center" wrapText="1"/>
      <protection locked="0"/>
    </xf>
    <xf numFmtId="4" fontId="9" fillId="0" borderId="17" xfId="0" applyNumberFormat="1" applyFont="1" applyBorder="1" applyAlignment="1" applyProtection="1">
      <alignment vertical="center" wrapText="1"/>
      <protection locked="0"/>
    </xf>
    <xf numFmtId="4" fontId="9" fillId="0" borderId="5" xfId="0" applyNumberFormat="1" applyFont="1" applyBorder="1" applyAlignment="1" applyProtection="1">
      <alignment vertical="center" wrapText="1"/>
      <protection locked="0"/>
    </xf>
    <xf numFmtId="0" fontId="18" fillId="4" borderId="7" xfId="0" applyFont="1" applyFill="1" applyBorder="1" applyAlignment="1" applyProtection="1">
      <alignment horizontal="left" vertical="center" wrapText="1"/>
      <protection hidden="1"/>
    </xf>
    <xf numFmtId="0" fontId="18" fillId="4" borderId="17" xfId="0" applyFont="1" applyFill="1" applyBorder="1" applyAlignment="1" applyProtection="1">
      <alignment horizontal="left" vertical="center" wrapText="1"/>
      <protection hidden="1"/>
    </xf>
    <xf numFmtId="0" fontId="18" fillId="4" borderId="5" xfId="0" applyFont="1" applyFill="1" applyBorder="1" applyAlignment="1" applyProtection="1">
      <alignment horizontal="left" vertical="center" wrapText="1"/>
      <protection hidden="1"/>
    </xf>
    <xf numFmtId="0" fontId="18" fillId="4" borderId="7" xfId="0" applyFont="1" applyFill="1" applyBorder="1" applyAlignment="1" applyProtection="1">
      <alignment horizontal="center" vertical="center" wrapText="1"/>
      <protection hidden="1"/>
    </xf>
    <xf numFmtId="0" fontId="18" fillId="4" borderId="5" xfId="0" applyFont="1" applyFill="1" applyBorder="1" applyAlignment="1" applyProtection="1">
      <alignment horizontal="center" vertical="center" wrapText="1"/>
      <protection hidden="1"/>
    </xf>
    <xf numFmtId="0" fontId="5" fillId="9" borderId="5" xfId="0" applyFont="1" applyFill="1" applyBorder="1" applyAlignment="1" applyProtection="1">
      <alignment horizontal="left" vertical="center" wrapText="1"/>
      <protection hidden="1"/>
    </xf>
    <xf numFmtId="0" fontId="5" fillId="9" borderId="6" xfId="0" applyFont="1" applyFill="1" applyBorder="1" applyAlignment="1" applyProtection="1">
      <alignment horizontal="left" vertical="center" wrapText="1"/>
      <protection hidden="1"/>
    </xf>
    <xf numFmtId="0" fontId="5" fillId="9" borderId="7" xfId="0" applyFont="1" applyFill="1" applyBorder="1" applyAlignment="1" applyProtection="1">
      <alignment horizontal="left" vertical="center" wrapText="1"/>
      <protection hidden="1"/>
    </xf>
    <xf numFmtId="0" fontId="11" fillId="6" borderId="5" xfId="0" applyFont="1" applyFill="1" applyBorder="1" applyAlignment="1" applyProtection="1">
      <alignment horizontal="left" vertical="center" wrapText="1"/>
      <protection hidden="1"/>
    </xf>
    <xf numFmtId="0" fontId="11" fillId="6" borderId="6" xfId="0" applyFont="1" applyFill="1" applyBorder="1" applyAlignment="1" applyProtection="1">
      <alignment horizontal="left" vertical="center" wrapText="1"/>
      <protection hidden="1"/>
    </xf>
    <xf numFmtId="0" fontId="11" fillId="6" borderId="7" xfId="0" applyFont="1" applyFill="1" applyBorder="1" applyAlignment="1" applyProtection="1">
      <alignment horizontal="left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locked="0" hidden="1"/>
    </xf>
    <xf numFmtId="0" fontId="11" fillId="0" borderId="20" xfId="0" applyFont="1" applyBorder="1" applyAlignment="1" applyProtection="1">
      <alignment horizontal="center" vertical="center" wrapText="1"/>
      <protection locked="0" hidden="1"/>
    </xf>
    <xf numFmtId="0" fontId="11" fillId="4" borderId="22" xfId="0" applyFont="1" applyFill="1" applyBorder="1" applyAlignment="1" applyProtection="1">
      <alignment horizontal="center" vertical="center" wrapText="1"/>
      <protection hidden="1"/>
    </xf>
    <xf numFmtId="0" fontId="11" fillId="4" borderId="11" xfId="0" applyFont="1" applyFill="1" applyBorder="1" applyAlignment="1" applyProtection="1">
      <alignment horizontal="center" vertical="center" wrapText="1"/>
      <protection hidden="1"/>
    </xf>
    <xf numFmtId="164" fontId="5" fillId="2" borderId="22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5" fillId="2" borderId="20" xfId="0" applyNumberFormat="1" applyFont="1" applyFill="1" applyBorder="1" applyAlignment="1" applyProtection="1">
      <alignment horizontal="center" vertical="center" wrapText="1"/>
      <protection locked="0" hidden="1"/>
    </xf>
    <xf numFmtId="4" fontId="75" fillId="4" borderId="17" xfId="0" applyNumberFormat="1" applyFont="1" applyFill="1" applyBorder="1" applyAlignment="1">
      <alignment horizontal="right" vertical="center" wrapText="1"/>
    </xf>
    <xf numFmtId="4" fontId="13" fillId="4" borderId="44" xfId="0" applyNumberFormat="1" applyFont="1" applyFill="1" applyBorder="1" applyAlignment="1">
      <alignment horizontal="right" vertical="center" wrapText="1"/>
    </xf>
    <xf numFmtId="4" fontId="13" fillId="4" borderId="0" xfId="0" applyNumberFormat="1" applyFont="1" applyFill="1" applyAlignment="1">
      <alignment horizontal="right" vertical="center" wrapText="1"/>
    </xf>
    <xf numFmtId="0" fontId="13" fillId="4" borderId="0" xfId="0" applyFont="1" applyFill="1" applyAlignment="1" applyProtection="1">
      <alignment horizontal="left" vertical="top" wrapText="1"/>
      <protection hidden="1"/>
    </xf>
    <xf numFmtId="4" fontId="77" fillId="4" borderId="47" xfId="0" applyNumberFormat="1" applyFont="1" applyFill="1" applyBorder="1" applyAlignment="1" applyProtection="1">
      <alignment horizontal="right" vertical="center"/>
      <protection hidden="1"/>
    </xf>
    <xf numFmtId="0" fontId="4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41" fillId="10" borderId="0" xfId="0" applyFont="1" applyFill="1" applyAlignment="1">
      <alignment horizontal="center"/>
    </xf>
    <xf numFmtId="0" fontId="40" fillId="11" borderId="0" xfId="0" applyFont="1" applyFill="1" applyAlignment="1">
      <alignment horizontal="center"/>
    </xf>
    <xf numFmtId="0" fontId="44" fillId="10" borderId="0" xfId="0" applyFont="1" applyFill="1" applyAlignment="1">
      <alignment horizontal="center"/>
    </xf>
    <xf numFmtId="0" fontId="4" fillId="14" borderId="39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/>
    </xf>
  </cellXfs>
  <cellStyles count="12">
    <cellStyle name="Čárka" xfId="6" builtinId="3"/>
    <cellStyle name="Čárka 2" xfId="8" xr:uid="{860830B0-4DD2-40E9-BFC6-F854730C5793}"/>
    <cellStyle name="Hypertextový odkaz" xfId="1" builtinId="8"/>
    <cellStyle name="Normální" xfId="0" builtinId="0"/>
    <cellStyle name="Normální 2" xfId="2" xr:uid="{00000000-0005-0000-0000-000003000000}"/>
    <cellStyle name="Normální 3" xfId="5" xr:uid="{00000000-0005-0000-0000-000004000000}"/>
    <cellStyle name="Normální 3 2" xfId="7" xr:uid="{9A4CAF24-2B64-4A42-8B4B-8EF542E136E3}"/>
    <cellStyle name="Normální 3 3" xfId="10" xr:uid="{6FD59769-D0F3-4442-B871-FF9BE05B49DA}"/>
    <cellStyle name="Normální 4" xfId="11" xr:uid="{749581E2-7654-45E7-8E66-87EBC15DCFFE}"/>
    <cellStyle name="normální_List1" xfId="3" xr:uid="{00000000-0005-0000-0000-000005000000}"/>
    <cellStyle name="normální_RP - finální verze - rozdělení" xfId="4" xr:uid="{00000000-0005-0000-0000-000006000000}"/>
    <cellStyle name="Procenta 2" xfId="9" xr:uid="{A14316F6-2FB5-4F39-B70D-6D917A6E2182}"/>
  </cellStyles>
  <dxfs count="88">
    <dxf>
      <font>
        <color rgb="FF9C0006"/>
      </font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3"/>
        </patternFill>
      </fill>
    </dxf>
    <dxf>
      <fill>
        <patternFill>
          <bgColor rgb="FFD10074"/>
        </patternFill>
      </fill>
    </dxf>
    <dxf>
      <fill>
        <patternFill>
          <bgColor rgb="FF6F9AD3"/>
        </patternFill>
      </fill>
    </dxf>
    <dxf>
      <fill>
        <patternFill>
          <bgColor rgb="FFE98300"/>
        </patternFill>
      </fill>
    </dxf>
    <dxf>
      <fill>
        <patternFill>
          <bgColor rgb="FF007D57"/>
        </patternFill>
      </fill>
    </dxf>
    <dxf>
      <fill>
        <patternFill>
          <bgColor rgb="FF5BBBB7"/>
        </patternFill>
      </fill>
    </dxf>
    <dxf>
      <fill>
        <patternFill>
          <bgColor rgb="FF9C5FB5"/>
        </patternFill>
      </fill>
    </dxf>
    <dxf>
      <fill>
        <patternFill>
          <bgColor rgb="FF009FDA"/>
        </patternFill>
      </fill>
    </dxf>
    <dxf>
      <fill>
        <patternFill>
          <bgColor rgb="FF34BB3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7"/>
        </patternFill>
      </fill>
    </dxf>
    <dxf>
      <fill>
        <patternFill>
          <bgColor theme="6"/>
        </patternFill>
      </fill>
    </dxf>
    <dxf>
      <fill>
        <patternFill>
          <bgColor theme="5"/>
        </patternFill>
      </fill>
    </dxf>
    <dxf>
      <fill>
        <patternFill>
          <bgColor theme="8"/>
        </patternFill>
      </fill>
    </dxf>
    <dxf>
      <fill>
        <patternFill>
          <bgColor rgb="FF6F9AD3"/>
        </patternFill>
      </fill>
    </dxf>
    <dxf>
      <fill>
        <patternFill>
          <bgColor theme="9"/>
        </patternFill>
      </fill>
    </dxf>
    <dxf>
      <fill>
        <patternFill>
          <bgColor rgb="FF34B233"/>
        </patternFill>
      </fill>
    </dxf>
    <dxf>
      <numFmt numFmtId="0" formatCode="General"/>
      <fill>
        <patternFill>
          <bgColor rgb="FF009FD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theme="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595959"/>
      <color rgb="FF6FFFFF"/>
      <color rgb="FF6F9AD3"/>
      <color rgb="FF009FDA"/>
      <color rgb="FF34B2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mítalová Lenka Ing." id="{336F5D22-A366-42AB-A3AC-6C2EB9A60DDB}" userId="S::smitalova@jcu.cz::96d16cd0-2015-4cc7-9365-21845ed053b0" providerId="AD"/>
</personList>
</file>

<file path=xl/theme/theme1.xml><?xml version="1.0" encoding="utf-8"?>
<a:theme xmlns:a="http://schemas.openxmlformats.org/drawingml/2006/main" name="Motiv Office">
  <a:themeElements>
    <a:clrScheme name="JU">
      <a:dk1>
        <a:srgbClr val="151515"/>
      </a:dk1>
      <a:lt1>
        <a:sysClr val="window" lastClr="FFFFFF"/>
      </a:lt1>
      <a:dk2>
        <a:srgbClr val="E00034"/>
      </a:dk2>
      <a:lt2>
        <a:srgbClr val="D8D8D8"/>
      </a:lt2>
      <a:accent1>
        <a:srgbClr val="E00034"/>
      </a:accent1>
      <a:accent2>
        <a:srgbClr val="E98300"/>
      </a:accent2>
      <a:accent3>
        <a:srgbClr val="007D57"/>
      </a:accent3>
      <a:accent4>
        <a:srgbClr val="9C5FB5"/>
      </a:accent4>
      <a:accent5>
        <a:srgbClr val="5BBBB7"/>
      </a:accent5>
      <a:accent6>
        <a:srgbClr val="D10074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5" dT="2022-07-13T13:02:47.34" personId="{336F5D22-A366-42AB-A3AC-6C2EB9A60DDB}" id="{34ABC1DA-9C93-4E87-800A-27692E01295C}">
    <text>V projektu nemám, ale zařadíme to tam, ať máme pak co vykazovat... odpovídá to tomu, co měl popsáno bez kódu.
Prosím, doplň jej do projektu....</text>
  </threadedComment>
  <threadedComment ref="AI14" dT="2023-08-30T08:02:56.24" personId="{336F5D22-A366-42AB-A3AC-6C2EB9A60DDB}" id="{FEECD5D1-CB8A-41FD-9D9E-DF20DD6F45EF}">
    <text>Novy, nahrazuje VZ_02_V_D</text>
  </threadedComment>
  <threadedComment ref="G20" dT="2025-07-24T12:00:05.59" personId="{336F5D22-A366-42AB-A3AC-6C2EB9A60DDB}" id="{8D9B52BE-72BF-4C8E-9E8F-6E1BFAF67A03}">
    <text>Rozvoj energetického managementu JU - změna 28.7.2025 na Navigační systém kampusu JU</text>
  </threadedComment>
  <threadedComment ref="AE20" dT="2025-07-24T11:58:46.08" personId="{336F5D22-A366-42AB-A3AC-6C2EB9A60DDB}" id="{86B92D2A-6DE9-403F-9A8C-FE0BA4E7F7F4}">
    <text>Nový, nahrazuje U_05_V_D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21" dT="2025-07-24T12:00:05.59" personId="{336F5D22-A366-42AB-A3AC-6C2EB9A60DDB}" id="{115DB1FD-C903-4E01-93FF-5841CC994A00}">
    <text>Rozvoj energetického managementu JU - změna 28.7.2025 na Navigační systém kampusu JU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Y3" dT="2023-08-30T07:45:08.86" personId="{336F5D22-A366-42AB-A3AC-6C2EB9A60DDB}" id="{A8801235-ABC2-4494-A22B-157E51815275}">
    <text>Počítají studentoměsíce, některé fakulty studenty - kontrola...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lcerna@jcu.cz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mailto:lcerna@jcu.cz" TargetMode="External"/><Relationship Id="rId1" Type="http://schemas.openxmlformats.org/officeDocument/2006/relationships/hyperlink" Target="mailto:novotnaz@jcu.cz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mailto:prorektor-rozvoj@jcu.cz" TargetMode="External"/><Relationship Id="rId4" Type="http://schemas.openxmlformats.org/officeDocument/2006/relationships/hyperlink" Target="mailto:bsindel@zsf.jcu.cz" TargetMode="External"/><Relationship Id="rId9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hyperlink" Target="mailto:lcerna@jcu.cz" TargetMode="External"/><Relationship Id="rId7" Type="http://schemas.openxmlformats.org/officeDocument/2006/relationships/vmlDrawing" Target="../drawings/vmlDrawing4.vml"/><Relationship Id="rId2" Type="http://schemas.openxmlformats.org/officeDocument/2006/relationships/hyperlink" Target="mailto:lcerna@jcu.cz" TargetMode="External"/><Relationship Id="rId1" Type="http://schemas.openxmlformats.org/officeDocument/2006/relationships/hyperlink" Target="mailto:novotnaz@jcu.cz" TargetMode="External"/><Relationship Id="rId6" Type="http://schemas.openxmlformats.org/officeDocument/2006/relationships/printerSettings" Target="../printerSettings/printerSettings5.bin"/><Relationship Id="rId5" Type="http://schemas.openxmlformats.org/officeDocument/2006/relationships/hyperlink" Target="mailto:prorektor-rozvoj@jcu.cz" TargetMode="External"/><Relationship Id="rId4" Type="http://schemas.openxmlformats.org/officeDocument/2006/relationships/hyperlink" Target="mailto:bsindel@zsf.jcu.cz" TargetMode="External"/><Relationship Id="rId9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kpicha@ef.jcu.cz" TargetMode="External"/><Relationship Id="rId3" Type="http://schemas.openxmlformats.org/officeDocument/2006/relationships/hyperlink" Target="mailto:novotnyd@tf.jcu.cz" TargetMode="External"/><Relationship Id="rId7" Type="http://schemas.openxmlformats.org/officeDocument/2006/relationships/hyperlink" Target="mailto:kral@ff.jcu.cz" TargetMode="External"/><Relationship Id="rId12" Type="http://schemas.microsoft.com/office/2017/10/relationships/threadedComment" Target="../threadedComments/threadedComment3.xml"/><Relationship Id="rId2" Type="http://schemas.openxmlformats.org/officeDocument/2006/relationships/hyperlink" Target="mailto:zoelzer@zsf.jcu.cz" TargetMode="External"/><Relationship Id="rId1" Type="http://schemas.openxmlformats.org/officeDocument/2006/relationships/hyperlink" Target="mailto:konvalina@fzt.jcu.cz" TargetMode="External"/><Relationship Id="rId6" Type="http://schemas.openxmlformats.org/officeDocument/2006/relationships/hyperlink" Target="mailto:vzlabek@frov.jcu.cz" TargetMode="External"/><Relationship Id="rId11" Type="http://schemas.openxmlformats.org/officeDocument/2006/relationships/comments" Target="../comments3.xml"/><Relationship Id="rId5" Type="http://schemas.openxmlformats.org/officeDocument/2006/relationships/hyperlink" Target="mailto:betakova@pf.jcu.cz" TargetMode="External"/><Relationship Id="rId10" Type="http://schemas.openxmlformats.org/officeDocument/2006/relationships/vmlDrawing" Target="../drawings/vmlDrawing5.vml"/><Relationship Id="rId4" Type="http://schemas.openxmlformats.org/officeDocument/2006/relationships/hyperlink" Target="mailto:majka@prf.jcu.cz" TargetMode="External"/><Relationship Id="rId9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89"/>
  <sheetViews>
    <sheetView tabSelected="1" view="pageBreakPreview" zoomScaleNormal="100" zoomScaleSheetLayoutView="100" zoomScalePageLayoutView="70" workbookViewId="0">
      <selection activeCell="R4" sqref="R4"/>
    </sheetView>
  </sheetViews>
  <sheetFormatPr defaultColWidth="9.140625" defaultRowHeight="13.5" x14ac:dyDescent="0.25"/>
  <cols>
    <col min="1" max="1" width="2.28515625" style="2" customWidth="1"/>
    <col min="2" max="2" width="27.5703125" style="1" customWidth="1"/>
    <col min="3" max="3" width="9.140625" style="1" customWidth="1"/>
    <col min="4" max="8" width="7.140625" style="1" customWidth="1"/>
    <col min="9" max="10" width="10.140625" style="1" customWidth="1"/>
    <col min="11" max="11" width="10.7109375" style="1" customWidth="1"/>
    <col min="12" max="12" width="10.85546875" style="1" customWidth="1"/>
    <col min="13" max="13" width="7.140625" style="1" customWidth="1"/>
    <col min="14" max="14" width="6.5703125" style="1" customWidth="1"/>
    <col min="15" max="20" width="7.140625" style="1" customWidth="1"/>
    <col min="21" max="21" width="2.28515625" style="2" customWidth="1"/>
    <col min="22" max="24" width="8.85546875" style="1" customWidth="1"/>
    <col min="25" max="34" width="7.140625" style="1" customWidth="1"/>
    <col min="35" max="35" width="23.5703125" style="1" customWidth="1"/>
    <col min="36" max="39" width="5.85546875" style="1" customWidth="1"/>
    <col min="40" max="40" width="49.7109375" style="1" customWidth="1"/>
    <col min="41" max="41" width="25" style="1" customWidth="1"/>
    <col min="42" max="42" width="14.42578125" style="6" customWidth="1"/>
    <col min="43" max="43" width="12" style="1" customWidth="1"/>
    <col min="44" max="44" width="13" style="1" customWidth="1"/>
    <col min="45" max="45" width="12.28515625" style="1" customWidth="1"/>
    <col min="46" max="46" width="13" style="1" customWidth="1"/>
    <col min="47" max="47" width="11.42578125" style="1" customWidth="1"/>
    <col min="48" max="48" width="27.140625" style="1" customWidth="1"/>
    <col min="49" max="49" width="87.85546875" style="1" customWidth="1"/>
    <col min="50" max="50" width="5.85546875" style="1" customWidth="1"/>
    <col min="51" max="58" width="9.140625" style="1" customWidth="1"/>
    <col min="59" max="16384" width="9.140625" style="1"/>
  </cols>
  <sheetData>
    <row r="1" spans="2:20" ht="32.25" customHeight="1" x14ac:dyDescent="0.25">
      <c r="B1" s="332" t="s">
        <v>61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8"/>
    </row>
    <row r="2" spans="2:20" ht="13.5" customHeight="1" x14ac:dyDescent="0.25">
      <c r="B2" s="333" t="s">
        <v>349</v>
      </c>
      <c r="C2" s="333"/>
      <c r="D2" s="333"/>
      <c r="E2" s="333"/>
      <c r="F2" s="333"/>
      <c r="G2" s="333"/>
      <c r="H2" s="7"/>
      <c r="I2" s="7"/>
      <c r="J2" s="7"/>
      <c r="K2" s="7"/>
      <c r="L2" s="7"/>
      <c r="M2" s="334"/>
      <c r="N2" s="334"/>
      <c r="O2" s="334"/>
      <c r="P2" s="9"/>
      <c r="Q2" s="3"/>
      <c r="R2" s="3"/>
      <c r="S2" s="3"/>
      <c r="T2" s="3"/>
    </row>
    <row r="3" spans="2:20" ht="13.5" customHeight="1" thickBot="1" x14ac:dyDescent="0.3">
      <c r="B3" s="333" t="s">
        <v>18</v>
      </c>
      <c r="C3" s="333"/>
      <c r="D3" s="333"/>
      <c r="E3" s="333"/>
      <c r="F3" s="333"/>
      <c r="G3" s="33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20" ht="24" customHeight="1" thickTop="1" thickBot="1" x14ac:dyDescent="0.3">
      <c r="B4" s="2"/>
      <c r="C4" s="2"/>
      <c r="D4" s="2"/>
      <c r="E4" s="2"/>
      <c r="F4" s="2"/>
      <c r="G4" s="2"/>
      <c r="H4" s="2"/>
      <c r="I4" s="2"/>
      <c r="J4" s="365" t="s">
        <v>47</v>
      </c>
      <c r="K4" s="365"/>
      <c r="L4" s="365"/>
      <c r="M4" s="365"/>
      <c r="N4" s="365"/>
      <c r="O4" s="365"/>
      <c r="P4" s="363" t="s">
        <v>44</v>
      </c>
      <c r="Q4" s="364"/>
      <c r="R4" s="33"/>
      <c r="S4" s="371"/>
      <c r="T4" s="371"/>
    </row>
    <row r="5" spans="2:20" ht="36" customHeight="1" thickTop="1" x14ac:dyDescent="0.25">
      <c r="B5" s="4"/>
      <c r="C5" s="4"/>
      <c r="D5" s="4"/>
      <c r="E5" s="372" t="s">
        <v>57</v>
      </c>
      <c r="F5" s="372"/>
      <c r="G5" s="370" t="s">
        <v>478</v>
      </c>
      <c r="H5" s="370"/>
      <c r="I5" s="370"/>
      <c r="J5" s="370"/>
      <c r="K5" s="370"/>
      <c r="L5" s="370"/>
      <c r="M5" s="370"/>
      <c r="N5" s="370"/>
      <c r="O5" s="370"/>
      <c r="P5" s="370"/>
      <c r="Q5" s="370"/>
      <c r="R5" s="370"/>
      <c r="S5" s="370"/>
      <c r="T5" s="370"/>
    </row>
    <row r="6" spans="2:20" ht="15.75" thickBot="1" x14ac:dyDescent="0.3">
      <c r="B6" s="335" t="s">
        <v>480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26"/>
    </row>
    <row r="7" spans="2:20" ht="23.25" customHeight="1" thickTop="1" x14ac:dyDescent="0.25">
      <c r="B7" s="25" t="s">
        <v>62</v>
      </c>
      <c r="C7" s="376" t="s">
        <v>336</v>
      </c>
      <c r="D7" s="377"/>
      <c r="E7" s="377"/>
      <c r="F7" s="378"/>
      <c r="G7" s="92" t="s">
        <v>544</v>
      </c>
      <c r="H7" s="93"/>
      <c r="I7" s="93"/>
      <c r="J7" s="379" t="str">
        <f>VLOOKUP(C7,'DATA ZDROJ'!B37:D38,2,0)</f>
        <v>do 14. 2. 2026</v>
      </c>
      <c r="K7" s="379"/>
      <c r="L7" s="379"/>
      <c r="M7" s="379"/>
      <c r="N7" s="380"/>
      <c r="O7" s="375" t="s">
        <v>63</v>
      </c>
      <c r="P7" s="375"/>
      <c r="Q7" s="375"/>
      <c r="R7" s="375"/>
      <c r="S7" s="373">
        <f>VLOOKUP(C7,'DATA ZDROJ'!B37:D38,3,0)</f>
        <v>2025</v>
      </c>
      <c r="T7" s="374"/>
    </row>
    <row r="8" spans="2:20" ht="25.5" customHeight="1" thickBot="1" x14ac:dyDescent="0.3">
      <c r="B8" s="369" t="s">
        <v>19</v>
      </c>
      <c r="C8" s="369"/>
      <c r="D8" s="369"/>
      <c r="E8" s="369"/>
      <c r="F8" s="369"/>
      <c r="G8" s="369"/>
      <c r="H8" s="369"/>
      <c r="I8" s="369"/>
      <c r="J8" s="369"/>
      <c r="K8" s="369"/>
      <c r="L8" s="369"/>
      <c r="M8" s="369"/>
      <c r="N8" s="369"/>
      <c r="O8" s="369"/>
      <c r="P8" s="369"/>
      <c r="Q8" s="369"/>
      <c r="R8" s="369"/>
      <c r="S8" s="369"/>
      <c r="T8" s="369"/>
    </row>
    <row r="9" spans="2:20" ht="36" customHeight="1" thickTop="1" thickBot="1" x14ac:dyDescent="0.3">
      <c r="B9" s="29" t="s">
        <v>45</v>
      </c>
      <c r="C9" s="366" t="e">
        <f>VLOOKUP($R$4,'DATA ZDROJ'!B3:Z23,6,0)</f>
        <v>#N/A</v>
      </c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8"/>
    </row>
    <row r="10" spans="2:20" ht="26.25" customHeight="1" thickTop="1" x14ac:dyDescent="0.25">
      <c r="B10" s="384" t="s">
        <v>96</v>
      </c>
      <c r="C10" s="385"/>
      <c r="D10" s="385"/>
      <c r="E10" s="385"/>
      <c r="F10" s="386"/>
      <c r="G10" s="381" t="e">
        <f>VLOOKUP($R$4,'DATA ZDROJ'!B3:Z23,5,0)</f>
        <v>#N/A</v>
      </c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3"/>
    </row>
    <row r="11" spans="2:20" ht="16.5" customHeight="1" x14ac:dyDescent="0.25">
      <c r="B11" s="342" t="s">
        <v>297</v>
      </c>
      <c r="C11" s="342"/>
      <c r="D11" s="342"/>
      <c r="E11" s="342"/>
      <c r="F11" s="342"/>
      <c r="G11" s="298" t="e">
        <f>VLOOKUP($R$4,'DATA ZDROJ'!B3:Z23,4,0)</f>
        <v>#N/A</v>
      </c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300"/>
    </row>
    <row r="12" spans="2:20" ht="16.5" customHeight="1" x14ac:dyDescent="0.25">
      <c r="B12" s="342" t="s">
        <v>298</v>
      </c>
      <c r="C12" s="342"/>
      <c r="D12" s="342"/>
      <c r="E12" s="342"/>
      <c r="F12" s="342"/>
      <c r="G12" s="298" t="e">
        <f>VLOOKUP($R$4,'DATA ZDROJ'!B3:Z23,2,0)</f>
        <v>#N/A</v>
      </c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300"/>
    </row>
    <row r="13" spans="2:20" ht="16.5" customHeight="1" x14ac:dyDescent="0.25">
      <c r="B13" s="343" t="s">
        <v>299</v>
      </c>
      <c r="C13" s="387"/>
      <c r="D13" s="387"/>
      <c r="E13" s="387"/>
      <c r="F13" s="388"/>
      <c r="G13" s="298" t="e">
        <f>VLOOKUP($R$4,'DATA ZDROJ'!B3:Z23,3,0)</f>
        <v>#N/A</v>
      </c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300"/>
    </row>
    <row r="14" spans="2:20" ht="20.25" customHeight="1" x14ac:dyDescent="0.25">
      <c r="B14" s="342" t="s">
        <v>300</v>
      </c>
      <c r="C14" s="295" t="s">
        <v>20</v>
      </c>
      <c r="D14" s="296"/>
      <c r="E14" s="296"/>
      <c r="F14" s="297"/>
      <c r="G14" s="298" t="e">
        <f>VLOOKUP($R$4,'DATA ZDROJ'!B3:Z23,7,0)</f>
        <v>#N/A</v>
      </c>
      <c r="H14" s="299"/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300"/>
    </row>
    <row r="15" spans="2:20" ht="17.25" customHeight="1" x14ac:dyDescent="0.25">
      <c r="B15" s="342"/>
      <c r="C15" s="295" t="s">
        <v>21</v>
      </c>
      <c r="D15" s="296"/>
      <c r="E15" s="296"/>
      <c r="F15" s="297"/>
      <c r="G15" s="298" t="e">
        <f>VLOOKUP($R$4,'DATA ZDROJ'!B3:Z23,8,0)</f>
        <v>#N/A</v>
      </c>
      <c r="H15" s="299"/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300"/>
    </row>
    <row r="16" spans="2:20" x14ac:dyDescent="0.25">
      <c r="B16" s="27"/>
      <c r="C16" s="28"/>
      <c r="D16" s="2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312"/>
      <c r="T16" s="312"/>
    </row>
    <row r="17" spans="2:20" ht="18.75" customHeight="1" thickBot="1" x14ac:dyDescent="0.3">
      <c r="B17" s="273" t="s">
        <v>22</v>
      </c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5"/>
    </row>
    <row r="18" spans="2:20" ht="21.75" customHeight="1" thickTop="1" x14ac:dyDescent="0.25">
      <c r="B18" s="313" t="s">
        <v>552</v>
      </c>
      <c r="C18" s="344" t="s">
        <v>331</v>
      </c>
      <c r="D18" s="344"/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344"/>
      <c r="P18" s="344"/>
      <c r="Q18" s="344"/>
      <c r="R18" s="344"/>
      <c r="S18" s="344"/>
      <c r="T18" s="345"/>
    </row>
    <row r="19" spans="2:20" ht="21.75" customHeight="1" x14ac:dyDescent="0.25">
      <c r="B19" s="314"/>
      <c r="C19" s="279"/>
      <c r="D19" s="279"/>
      <c r="E19" s="279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79"/>
      <c r="Q19" s="279"/>
      <c r="R19" s="279"/>
      <c r="S19" s="279"/>
      <c r="T19" s="280"/>
    </row>
    <row r="20" spans="2:20" ht="21.75" customHeight="1" x14ac:dyDescent="0.25">
      <c r="B20" s="314"/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80"/>
    </row>
    <row r="21" spans="2:20" ht="21.75" customHeight="1" x14ac:dyDescent="0.25">
      <c r="B21" s="314"/>
      <c r="C21" s="279"/>
      <c r="D21" s="279"/>
      <c r="E21" s="279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80"/>
    </row>
    <row r="22" spans="2:20" ht="21.75" customHeight="1" x14ac:dyDescent="0.25">
      <c r="B22" s="314"/>
      <c r="C22" s="279"/>
      <c r="D22" s="279"/>
      <c r="E22" s="279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80"/>
    </row>
    <row r="23" spans="2:20" ht="21.75" customHeight="1" x14ac:dyDescent="0.25">
      <c r="B23" s="314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80"/>
    </row>
    <row r="24" spans="2:20" ht="21.75" customHeight="1" x14ac:dyDescent="0.25">
      <c r="B24" s="314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80"/>
    </row>
    <row r="25" spans="2:20" ht="21.75" customHeight="1" x14ac:dyDescent="0.25">
      <c r="B25" s="314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80"/>
    </row>
    <row r="26" spans="2:20" ht="21.75" customHeight="1" x14ac:dyDescent="0.25">
      <c r="B26" s="314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80"/>
    </row>
    <row r="27" spans="2:20" ht="21.75" customHeight="1" x14ac:dyDescent="0.25">
      <c r="B27" s="314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80"/>
    </row>
    <row r="28" spans="2:20" x14ac:dyDescent="0.25">
      <c r="B28" s="343" t="s">
        <v>24</v>
      </c>
      <c r="C28" s="389" t="s">
        <v>131</v>
      </c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90"/>
    </row>
    <row r="29" spans="2:20" ht="47.25" customHeight="1" x14ac:dyDescent="0.25">
      <c r="B29" s="343"/>
      <c r="C29" s="52" t="s">
        <v>93</v>
      </c>
      <c r="D29" s="306" t="s">
        <v>25</v>
      </c>
      <c r="E29" s="307"/>
      <c r="F29" s="307"/>
      <c r="G29" s="307"/>
      <c r="H29" s="308"/>
      <c r="I29" s="52" t="s">
        <v>338</v>
      </c>
      <c r="J29" s="52" t="s">
        <v>339</v>
      </c>
      <c r="K29" s="52" t="s">
        <v>337</v>
      </c>
      <c r="L29" s="52" t="s">
        <v>340</v>
      </c>
      <c r="M29" s="301" t="s">
        <v>124</v>
      </c>
      <c r="N29" s="302"/>
      <c r="O29" s="301" t="s">
        <v>26</v>
      </c>
      <c r="P29" s="305"/>
      <c r="Q29" s="305"/>
      <c r="R29" s="305"/>
      <c r="S29" s="305"/>
      <c r="T29" s="302"/>
    </row>
    <row r="30" spans="2:20" ht="45.75" customHeight="1" x14ac:dyDescent="0.25">
      <c r="B30" s="343"/>
      <c r="C30" s="128" t="e">
        <f>IF(VLOOKUP($R$4,'DATA ZDROJ'!$B$3:$AL$23,30,0)=0,"",VLOOKUP($R$4,'DATA ZDROJ'!$B$3:$AL$23,30,0))</f>
        <v>#N/A</v>
      </c>
      <c r="D30" s="292" t="e">
        <f>IF(C30="","",VLOOKUP(C30,'DATA ZDROJ Indikatory'!$B$3:$AX$58,3,0))</f>
        <v>#N/A</v>
      </c>
      <c r="E30" s="293"/>
      <c r="F30" s="293"/>
      <c r="G30" s="293"/>
      <c r="H30" s="294"/>
      <c r="I30" s="94" t="e">
        <f>IF($C30="","",VLOOKUP($C30,'DATA ZDROJ Indikatory'!$B$5:$AX$58,HLOOKUP($R$4,'DATA ZDROJ Indikatory'!$I$3:$AD$58,2,0),0))</f>
        <v>#N/A</v>
      </c>
      <c r="J30" s="94" t="e">
        <f>IF($C30="","",VLOOKUP($C30,'DATA ZDROJ Indikatory'!$B$5:$AX$58,HLOOKUP($R$4,'DATA ZDROJ Indikatory'!$AE$3:$AX$58,2,0),0))</f>
        <v>#N/A</v>
      </c>
      <c r="K30" s="258" t="e">
        <f>IF($C30="","",VLOOKUP($C30,'DATA ZDROJ Indikatory'!$B$5:$BR$58,HLOOKUP($R$4,'DATA ZDROJ Indikatory'!$AY$3:$BR$58,2,0),0))</f>
        <v>#N/A</v>
      </c>
      <c r="L30" s="53"/>
      <c r="M30" s="303" t="e">
        <f>IF(C30="","",VLOOKUP($C30,'DATA ZDROJ Indikatory'!$B$5:$E$58,4,0))</f>
        <v>#N/A</v>
      </c>
      <c r="N30" s="304"/>
      <c r="O30" s="309"/>
      <c r="P30" s="310"/>
      <c r="Q30" s="310"/>
      <c r="R30" s="310"/>
      <c r="S30" s="310"/>
      <c r="T30" s="311"/>
    </row>
    <row r="31" spans="2:20" ht="45.75" customHeight="1" x14ac:dyDescent="0.25">
      <c r="B31" s="343"/>
      <c r="C31" s="128" t="e">
        <f>IF(VLOOKUP($R$4,'DATA ZDROJ'!$B$3:$AL$23,31,0)=0,"",VLOOKUP($R$4,'DATA ZDROJ'!$B$3:$AL$23,31,0))</f>
        <v>#N/A</v>
      </c>
      <c r="D31" s="292" t="e">
        <f>IF(C31="","",VLOOKUP(C31,'DATA ZDROJ Indikatory'!$B$3:$AX$58,3,0))</f>
        <v>#N/A</v>
      </c>
      <c r="E31" s="293"/>
      <c r="F31" s="293"/>
      <c r="G31" s="293"/>
      <c r="H31" s="294"/>
      <c r="I31" s="94" t="e">
        <f>IF($C31="","",VLOOKUP($C31,'DATA ZDROJ Indikatory'!$B$5:$AX$58,HLOOKUP($R$4,'DATA ZDROJ Indikatory'!$I$3:$AD$58,2,0),0))</f>
        <v>#N/A</v>
      </c>
      <c r="J31" s="94" t="e">
        <f>IF($C31="","",VLOOKUP($C31,'DATA ZDROJ Indikatory'!$B$5:$AX$58,HLOOKUP($R$4,'DATA ZDROJ Indikatory'!$AE$3:$AX$58,2,0),0))</f>
        <v>#N/A</v>
      </c>
      <c r="K31" s="258" t="e">
        <f>IF($C31="","",VLOOKUP($C31,'DATA ZDROJ Indikatory'!$B$5:$BR$58,HLOOKUP($R$4,'DATA ZDROJ Indikatory'!$AY$3:$BR$58,2,0),0))</f>
        <v>#N/A</v>
      </c>
      <c r="L31" s="53"/>
      <c r="M31" s="303" t="e">
        <f>IF(C31="","",VLOOKUP($C31,'DATA ZDROJ Indikatory'!$B$5:$E$58,4,0))</f>
        <v>#N/A</v>
      </c>
      <c r="N31" s="304"/>
      <c r="O31" s="309"/>
      <c r="P31" s="310"/>
      <c r="Q31" s="310"/>
      <c r="R31" s="310"/>
      <c r="S31" s="310"/>
      <c r="T31" s="311"/>
    </row>
    <row r="32" spans="2:20" ht="45.75" customHeight="1" x14ac:dyDescent="0.25">
      <c r="B32" s="343"/>
      <c r="C32" s="128" t="e">
        <f>IF(VLOOKUP($R$4,'DATA ZDROJ'!$B$3:$AL$23,32,0)=0,"",VLOOKUP($R$4,'DATA ZDROJ'!$B$3:$AL$23,32,0))</f>
        <v>#N/A</v>
      </c>
      <c r="D32" s="292" t="e">
        <f>IF(C32="","",VLOOKUP(C32,'DATA ZDROJ Indikatory'!$B$3:$AX$58,3,0))</f>
        <v>#N/A</v>
      </c>
      <c r="E32" s="293"/>
      <c r="F32" s="293"/>
      <c r="G32" s="293"/>
      <c r="H32" s="294"/>
      <c r="I32" s="94" t="e">
        <f>IF($C32="","",VLOOKUP($C32,'DATA ZDROJ Indikatory'!$B$5:$AX$58,HLOOKUP($R$4,'DATA ZDROJ Indikatory'!$I$3:$AD$58,2,0),0))</f>
        <v>#N/A</v>
      </c>
      <c r="J32" s="94" t="e">
        <f>IF($C32="","",VLOOKUP($C32,'DATA ZDROJ Indikatory'!$B$5:$AX$58,HLOOKUP($R$4,'DATA ZDROJ Indikatory'!$AE$3:$AX$58,2,0),0))</f>
        <v>#N/A</v>
      </c>
      <c r="K32" s="258" t="e">
        <f>IF($C32="","",VLOOKUP($C32,'DATA ZDROJ Indikatory'!$B$5:$BR$58,HLOOKUP($R$4,'DATA ZDROJ Indikatory'!$AY$3:$BR$58,2,0),0))</f>
        <v>#N/A</v>
      </c>
      <c r="L32" s="53"/>
      <c r="M32" s="303" t="e">
        <f>IF(C32="","",VLOOKUP($C32,'DATA ZDROJ Indikatory'!$B$5:$E$58,4,0))</f>
        <v>#N/A</v>
      </c>
      <c r="N32" s="304"/>
      <c r="O32" s="309"/>
      <c r="P32" s="310"/>
      <c r="Q32" s="310"/>
      <c r="R32" s="310"/>
      <c r="S32" s="310"/>
      <c r="T32" s="311"/>
    </row>
    <row r="33" spans="1:42" ht="45.75" customHeight="1" x14ac:dyDescent="0.25">
      <c r="B33" s="343"/>
      <c r="C33" s="128" t="e">
        <f>IF(VLOOKUP($R$4,'DATA ZDROJ'!$B$3:$AL$23,33,0)=0,"",VLOOKUP($R$4,'DATA ZDROJ'!$B$3:$AL$23,33,0))</f>
        <v>#N/A</v>
      </c>
      <c r="D33" s="292" t="e">
        <f>IF(C33="","",VLOOKUP(C33,'DATA ZDROJ Indikatory'!$B$3:$AX$58,3,0))</f>
        <v>#N/A</v>
      </c>
      <c r="E33" s="293"/>
      <c r="F33" s="293"/>
      <c r="G33" s="293"/>
      <c r="H33" s="294"/>
      <c r="I33" s="94" t="e">
        <f>IF($C33="","",VLOOKUP($C33,'DATA ZDROJ Indikatory'!$B$5:$AX$58,HLOOKUP($R$4,'DATA ZDROJ Indikatory'!$I$3:$AD$58,2,0),0))</f>
        <v>#N/A</v>
      </c>
      <c r="J33" s="94" t="e">
        <f>IF($C33="","",VLOOKUP($C33,'DATA ZDROJ Indikatory'!$B$5:$AX$58,HLOOKUP($R$4,'DATA ZDROJ Indikatory'!$AE$3:$AX$58,2,0),0))</f>
        <v>#N/A</v>
      </c>
      <c r="K33" s="258" t="e">
        <f>IF($C33="","",VLOOKUP($C33,'DATA ZDROJ Indikatory'!$B$5:$BR$58,HLOOKUP($R$4,'DATA ZDROJ Indikatory'!$AY$3:$BR$58,2,0),0))</f>
        <v>#N/A</v>
      </c>
      <c r="L33" s="53"/>
      <c r="M33" s="355" t="e">
        <f>IF(C33="","",VLOOKUP($C33,'DATA ZDROJ Indikatory'!$B$5:$E$58,4,0))</f>
        <v>#N/A</v>
      </c>
      <c r="N33" s="356"/>
      <c r="O33" s="309"/>
      <c r="P33" s="310"/>
      <c r="Q33" s="310"/>
      <c r="R33" s="310"/>
      <c r="S33" s="310"/>
      <c r="T33" s="311"/>
    </row>
    <row r="34" spans="1:42" ht="45.75" customHeight="1" x14ac:dyDescent="0.25">
      <c r="B34" s="343"/>
      <c r="C34" s="128" t="e">
        <f>IF(VLOOKUP($R$4,'DATA ZDROJ'!$B$3:$AL$23,34,0)=0,"",VLOOKUP($R$4,'DATA ZDROJ'!$B$3:$AL$23,34,0))</f>
        <v>#N/A</v>
      </c>
      <c r="D34" s="292" t="e">
        <f>IF(C34="","",VLOOKUP(C34,'DATA ZDROJ Indikatory'!$B$3:$AX$58,3,0))</f>
        <v>#N/A</v>
      </c>
      <c r="E34" s="293"/>
      <c r="F34" s="293"/>
      <c r="G34" s="293"/>
      <c r="H34" s="294"/>
      <c r="I34" s="94" t="e">
        <f>IF($C34="","",VLOOKUP($C34,'DATA ZDROJ Indikatory'!$B$5:$AX$58,HLOOKUP($R$4,'DATA ZDROJ Indikatory'!$I$3:$AD$58,2,0),0))</f>
        <v>#N/A</v>
      </c>
      <c r="J34" s="94" t="e">
        <f>IF($C34="","",VLOOKUP($C34,'DATA ZDROJ Indikatory'!$B$5:$AX$58,HLOOKUP($R$4,'DATA ZDROJ Indikatory'!$AE$3:$AX$58,2,0),0))</f>
        <v>#N/A</v>
      </c>
      <c r="K34" s="258" t="e">
        <f>IF($C34="","",VLOOKUP($C34,'DATA ZDROJ Indikatory'!$B$5:$BR$58,HLOOKUP($R$4,'DATA ZDROJ Indikatory'!$AY$3:$BR$58,2,0),0))</f>
        <v>#N/A</v>
      </c>
      <c r="L34" s="53"/>
      <c r="M34" s="355" t="e">
        <f>IF(C34="","",VLOOKUP($C34,'DATA ZDROJ Indikatory'!$B$5:$E$58,4,0))</f>
        <v>#N/A</v>
      </c>
      <c r="N34" s="356"/>
      <c r="O34" s="309"/>
      <c r="P34" s="310"/>
      <c r="Q34" s="310"/>
      <c r="R34" s="310"/>
      <c r="S34" s="310"/>
      <c r="T34" s="311"/>
    </row>
    <row r="35" spans="1:42" ht="45.75" customHeight="1" x14ac:dyDescent="0.25">
      <c r="B35" s="343"/>
      <c r="C35" s="128" t="e">
        <f>IF(VLOOKUP($R$4,'DATA ZDROJ'!$B$3:$AL$23,35,0)=0,"",VLOOKUP($R$4,'DATA ZDROJ'!$B$3:$AL$23,35,0))</f>
        <v>#N/A</v>
      </c>
      <c r="D35" s="292" t="e">
        <f>IF(C35="","",VLOOKUP(C35,'DATA ZDROJ Indikatory'!$B$3:$AX$58,3,0))</f>
        <v>#N/A</v>
      </c>
      <c r="E35" s="293"/>
      <c r="F35" s="293"/>
      <c r="G35" s="293"/>
      <c r="H35" s="294"/>
      <c r="I35" s="94" t="e">
        <f>IF($C35="","",VLOOKUP($C35,'DATA ZDROJ Indikatory'!$B$5:$AX$58,HLOOKUP($R$4,'DATA ZDROJ Indikatory'!$I$3:$AD$58,2,0),0))</f>
        <v>#N/A</v>
      </c>
      <c r="J35" s="94" t="e">
        <f>IF($C35="","",VLOOKUP($C35,'DATA ZDROJ Indikatory'!$B$5:$AX$58,HLOOKUP($R$4,'DATA ZDROJ Indikatory'!$AE$3:$AX$58,2,0),0))</f>
        <v>#N/A</v>
      </c>
      <c r="K35" s="258" t="e">
        <f>IF($C35="","",VLOOKUP($C35,'DATA ZDROJ Indikatory'!$B$5:$BR$58,HLOOKUP($R$4,'DATA ZDROJ Indikatory'!$AY$3:$BR$58,2,0),0))</f>
        <v>#N/A</v>
      </c>
      <c r="L35" s="53"/>
      <c r="M35" s="355" t="e">
        <f>IF(C35="","",VLOOKUP($C35,'DATA ZDROJ Indikatory'!$B$5:$E$58,4,0))</f>
        <v>#N/A</v>
      </c>
      <c r="N35" s="356"/>
      <c r="O35" s="309"/>
      <c r="P35" s="310"/>
      <c r="Q35" s="310"/>
      <c r="R35" s="310"/>
      <c r="S35" s="310"/>
      <c r="T35" s="311"/>
    </row>
    <row r="36" spans="1:42" ht="45.75" customHeight="1" x14ac:dyDescent="0.25">
      <c r="B36" s="343"/>
      <c r="C36" s="128" t="e">
        <f>IF(VLOOKUP($R$4,'DATA ZDROJ'!$B$3:$AL$23,36,0)=0,"",VLOOKUP($R$4,'DATA ZDROJ'!$B$3:$AL$23,36,0))</f>
        <v>#N/A</v>
      </c>
      <c r="D36" s="292" t="e">
        <f>IF(C36="","",VLOOKUP(C36,'DATA ZDROJ Indikatory'!$B$3:$AX$58,3,0))</f>
        <v>#N/A</v>
      </c>
      <c r="E36" s="293"/>
      <c r="F36" s="293"/>
      <c r="G36" s="293"/>
      <c r="H36" s="294"/>
      <c r="I36" s="94" t="e">
        <f>IF($C36="","",VLOOKUP($C36,'DATA ZDROJ Indikatory'!$B$5:$AX$58,HLOOKUP($R$4,'DATA ZDROJ Indikatory'!$I$3:$AD$58,2,0),0))</f>
        <v>#N/A</v>
      </c>
      <c r="J36" s="94" t="e">
        <f>IF($C36="","",VLOOKUP($C36,'DATA ZDROJ Indikatory'!$B$5:$AX$58,HLOOKUP($R$4,'DATA ZDROJ Indikatory'!$AE$3:$AX$58,2,0),0))</f>
        <v>#N/A</v>
      </c>
      <c r="K36" s="258" t="e">
        <f>IF($C36="","",VLOOKUP($C36,'DATA ZDROJ Indikatory'!$B$5:$BR$58,HLOOKUP($R$4,'DATA ZDROJ Indikatory'!$AY$3:$BR$58,2,0),0))</f>
        <v>#N/A</v>
      </c>
      <c r="L36" s="53"/>
      <c r="M36" s="355" t="e">
        <f>IF(C36="","",VLOOKUP($C36,'DATA ZDROJ Indikatory'!$B$5:$E$58,4,0))</f>
        <v>#N/A</v>
      </c>
      <c r="N36" s="356"/>
      <c r="O36" s="309"/>
      <c r="P36" s="310"/>
      <c r="Q36" s="310"/>
      <c r="R36" s="310"/>
      <c r="S36" s="310"/>
      <c r="T36" s="311"/>
    </row>
    <row r="37" spans="1:42" ht="45.75" customHeight="1" x14ac:dyDescent="0.25">
      <c r="B37" s="343"/>
      <c r="C37" s="128" t="e">
        <f>IF(VLOOKUP($R$4,'DATA ZDROJ'!$B$3:$AL$23,37,0)=0,"",VLOOKUP($R$4,'DATA ZDROJ'!$B$3:$AL$23,37,0))</f>
        <v>#N/A</v>
      </c>
      <c r="D37" s="292" t="e">
        <f>IF(C37="","",VLOOKUP(C37,'DATA ZDROJ Indikatory'!$B$3:$AX$58,3,0))</f>
        <v>#N/A</v>
      </c>
      <c r="E37" s="293"/>
      <c r="F37" s="293"/>
      <c r="G37" s="293"/>
      <c r="H37" s="294"/>
      <c r="I37" s="94" t="e">
        <f>IF($C37="","",VLOOKUP($C37,'DATA ZDROJ Indikatory'!$B$5:$AX$58,HLOOKUP($R$4,'DATA ZDROJ Indikatory'!$I$3:$AD$58,2,0),0))</f>
        <v>#N/A</v>
      </c>
      <c r="J37" s="94" t="e">
        <f>IF($C37="","",VLOOKUP($C37,'DATA ZDROJ Indikatory'!$B$5:$AX$58,HLOOKUP($R$4,'DATA ZDROJ Indikatory'!$AE$3:$AX$58,2,0),0))</f>
        <v>#N/A</v>
      </c>
      <c r="K37" s="258" t="e">
        <f>IF($C37="","",VLOOKUP($C37,'DATA ZDROJ Indikatory'!$B$5:$BR$58,HLOOKUP($R$4,'DATA ZDROJ Indikatory'!$AY$3:$BR$58,2,0),0))</f>
        <v>#N/A</v>
      </c>
      <c r="L37" s="53"/>
      <c r="M37" s="355" t="e">
        <f>IF(C37="","",VLOOKUP($C37,'DATA ZDROJ Indikatory'!$B$5:$E$58,4,0))</f>
        <v>#N/A</v>
      </c>
      <c r="N37" s="356"/>
      <c r="O37" s="309"/>
      <c r="P37" s="310"/>
      <c r="Q37" s="310"/>
      <c r="R37" s="310"/>
      <c r="S37" s="310"/>
      <c r="T37" s="311"/>
    </row>
    <row r="38" spans="1:42" ht="24" customHeight="1" x14ac:dyDescent="0.25">
      <c r="B38" s="343" t="s">
        <v>27</v>
      </c>
      <c r="C38" s="346" t="s">
        <v>126</v>
      </c>
      <c r="D38" s="346"/>
      <c r="E38" s="346"/>
      <c r="F38" s="346"/>
      <c r="G38" s="346"/>
      <c r="H38" s="346"/>
      <c r="I38" s="346"/>
      <c r="J38" s="346"/>
      <c r="K38" s="346"/>
      <c r="L38" s="346"/>
      <c r="M38" s="346"/>
      <c r="N38" s="346"/>
      <c r="O38" s="346"/>
      <c r="P38" s="346"/>
      <c r="Q38" s="346"/>
      <c r="R38" s="346"/>
      <c r="S38" s="346"/>
      <c r="T38" s="347"/>
    </row>
    <row r="39" spans="1:42" ht="15" customHeight="1" x14ac:dyDescent="0.25">
      <c r="B39" s="343"/>
      <c r="C39" s="14" t="s">
        <v>28</v>
      </c>
      <c r="D39" s="391" t="s">
        <v>29</v>
      </c>
      <c r="E39" s="391"/>
      <c r="F39" s="391"/>
      <c r="G39" s="391"/>
      <c r="H39" s="391"/>
      <c r="I39" s="391"/>
      <c r="J39" s="391"/>
      <c r="K39" s="348" t="s">
        <v>71</v>
      </c>
      <c r="L39" s="350"/>
      <c r="M39" s="348" t="s">
        <v>30</v>
      </c>
      <c r="N39" s="349"/>
      <c r="O39" s="349"/>
      <c r="P39" s="349"/>
      <c r="Q39" s="349"/>
      <c r="R39" s="349"/>
      <c r="S39" s="349"/>
      <c r="T39" s="350"/>
    </row>
    <row r="40" spans="1:42" ht="39.75" customHeight="1" x14ac:dyDescent="0.25">
      <c r="B40" s="343"/>
      <c r="C40" s="15">
        <v>1</v>
      </c>
      <c r="D40" s="354"/>
      <c r="E40" s="354"/>
      <c r="F40" s="354"/>
      <c r="G40" s="354"/>
      <c r="H40" s="354"/>
      <c r="I40" s="354"/>
      <c r="J40" s="354"/>
      <c r="K40" s="392"/>
      <c r="L40" s="393"/>
      <c r="M40" s="351"/>
      <c r="N40" s="352"/>
      <c r="O40" s="352"/>
      <c r="P40" s="352"/>
      <c r="Q40" s="352"/>
      <c r="R40" s="352"/>
      <c r="S40" s="352"/>
      <c r="T40" s="353"/>
    </row>
    <row r="41" spans="1:42" ht="39.75" customHeight="1" x14ac:dyDescent="0.25">
      <c r="B41" s="343"/>
      <c r="C41" s="15">
        <v>2</v>
      </c>
      <c r="D41" s="354"/>
      <c r="E41" s="354"/>
      <c r="F41" s="354"/>
      <c r="G41" s="354"/>
      <c r="H41" s="354"/>
      <c r="I41" s="354"/>
      <c r="J41" s="354"/>
      <c r="K41" s="392"/>
      <c r="L41" s="393"/>
      <c r="M41" s="351"/>
      <c r="N41" s="352"/>
      <c r="O41" s="352"/>
      <c r="P41" s="352"/>
      <c r="Q41" s="352"/>
      <c r="R41" s="352"/>
      <c r="S41" s="352"/>
      <c r="T41" s="353"/>
    </row>
    <row r="42" spans="1:42" ht="39.75" customHeight="1" x14ac:dyDescent="0.25">
      <c r="B42" s="343"/>
      <c r="C42" s="15">
        <v>3</v>
      </c>
      <c r="D42" s="483"/>
      <c r="E42" s="484"/>
      <c r="F42" s="484"/>
      <c r="G42" s="484"/>
      <c r="H42" s="484"/>
      <c r="I42" s="484"/>
      <c r="J42" s="485"/>
      <c r="K42" s="392"/>
      <c r="L42" s="393"/>
      <c r="M42" s="351"/>
      <c r="N42" s="352"/>
      <c r="O42" s="352"/>
      <c r="P42" s="352"/>
      <c r="Q42" s="352"/>
      <c r="R42" s="352"/>
      <c r="S42" s="352"/>
      <c r="T42" s="353"/>
    </row>
    <row r="43" spans="1:42" ht="39.75" customHeight="1" x14ac:dyDescent="0.25">
      <c r="B43" s="343"/>
      <c r="C43" s="15">
        <v>4</v>
      </c>
      <c r="D43" s="357"/>
      <c r="E43" s="357"/>
      <c r="F43" s="357"/>
      <c r="G43" s="357"/>
      <c r="H43" s="357"/>
      <c r="I43" s="357"/>
      <c r="J43" s="357"/>
      <c r="K43" s="392"/>
      <c r="L43" s="393"/>
      <c r="M43" s="351"/>
      <c r="N43" s="352"/>
      <c r="O43" s="352"/>
      <c r="P43" s="352"/>
      <c r="Q43" s="352"/>
      <c r="R43" s="352"/>
      <c r="S43" s="352"/>
      <c r="T43" s="353"/>
    </row>
    <row r="44" spans="1:42" ht="39.75" customHeight="1" x14ac:dyDescent="0.25">
      <c r="B44" s="343"/>
      <c r="C44" s="15">
        <v>5</v>
      </c>
      <c r="D44" s="354"/>
      <c r="E44" s="354"/>
      <c r="F44" s="354"/>
      <c r="G44" s="354"/>
      <c r="H44" s="354"/>
      <c r="I44" s="354"/>
      <c r="J44" s="354"/>
      <c r="K44" s="392"/>
      <c r="L44" s="393"/>
      <c r="M44" s="351"/>
      <c r="N44" s="352"/>
      <c r="O44" s="352"/>
      <c r="P44" s="352"/>
      <c r="Q44" s="352"/>
      <c r="R44" s="352"/>
      <c r="S44" s="352"/>
      <c r="T44" s="353"/>
    </row>
    <row r="45" spans="1:42" ht="11.25" customHeight="1" x14ac:dyDescent="0.2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</row>
    <row r="46" spans="1:42" ht="15.75" customHeight="1" thickBot="1" x14ac:dyDescent="0.3">
      <c r="B46" s="273" t="s">
        <v>60</v>
      </c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4"/>
      <c r="P46" s="274"/>
      <c r="Q46" s="274"/>
      <c r="R46" s="274"/>
      <c r="S46" s="274"/>
      <c r="T46" s="275"/>
    </row>
    <row r="47" spans="1:42" ht="15.75" customHeight="1" thickTop="1" x14ac:dyDescent="0.25">
      <c r="B47" s="410" t="s">
        <v>107</v>
      </c>
      <c r="C47" s="410"/>
      <c r="D47" s="410"/>
      <c r="E47" s="410"/>
      <c r="F47" s="410"/>
      <c r="G47" s="410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  <c r="T47" s="410"/>
    </row>
    <row r="48" spans="1:42" s="11" customFormat="1" ht="13.5" customHeight="1" x14ac:dyDescent="0.2">
      <c r="A48" s="10"/>
      <c r="B48" s="421" t="s">
        <v>3</v>
      </c>
      <c r="C48" s="358" t="s">
        <v>301</v>
      </c>
      <c r="D48" s="358"/>
      <c r="E48" s="358"/>
      <c r="F48" s="358"/>
      <c r="G48" s="358"/>
      <c r="H48" s="359"/>
      <c r="I48" s="360" t="s">
        <v>142</v>
      </c>
      <c r="J48" s="358"/>
      <c r="K48" s="358"/>
      <c r="L48" s="358"/>
      <c r="M48" s="358"/>
      <c r="N48" s="361"/>
      <c r="O48" s="341" t="s">
        <v>477</v>
      </c>
      <c r="P48" s="341"/>
      <c r="Q48" s="341"/>
      <c r="R48" s="341"/>
      <c r="S48" s="341"/>
      <c r="T48" s="341"/>
      <c r="U48" s="10"/>
      <c r="AP48" s="12"/>
    </row>
    <row r="49" spans="1:42" s="11" customFormat="1" ht="11.25" customHeight="1" x14ac:dyDescent="0.2">
      <c r="A49" s="10"/>
      <c r="B49" s="421"/>
      <c r="C49" s="265">
        <v>2024</v>
      </c>
      <c r="D49" s="265"/>
      <c r="E49" s="265">
        <v>2025</v>
      </c>
      <c r="F49" s="265"/>
      <c r="G49" s="265" t="s">
        <v>108</v>
      </c>
      <c r="H49" s="418"/>
      <c r="I49" s="419">
        <v>2023</v>
      </c>
      <c r="J49" s="265"/>
      <c r="K49" s="265">
        <v>2024</v>
      </c>
      <c r="L49" s="265"/>
      <c r="M49" s="265" t="s">
        <v>108</v>
      </c>
      <c r="N49" s="362"/>
      <c r="O49" s="341"/>
      <c r="P49" s="341"/>
      <c r="Q49" s="341"/>
      <c r="R49" s="341"/>
      <c r="S49" s="341"/>
      <c r="T49" s="341"/>
      <c r="U49" s="10"/>
      <c r="AP49" s="12"/>
    </row>
    <row r="50" spans="1:42" ht="13.5" customHeight="1" x14ac:dyDescent="0.25">
      <c r="B50" s="56" t="s">
        <v>51</v>
      </c>
      <c r="C50" s="323" t="e">
        <f>SUM(C51)</f>
        <v>#N/A</v>
      </c>
      <c r="D50" s="323"/>
      <c r="E50" s="323" t="e">
        <f>SUM(E51)</f>
        <v>#N/A</v>
      </c>
      <c r="F50" s="323"/>
      <c r="G50" s="336" t="e">
        <f>SUM(G51)</f>
        <v>#N/A</v>
      </c>
      <c r="H50" s="420"/>
      <c r="I50" s="282" t="e">
        <f>SUM(I51)</f>
        <v>#N/A</v>
      </c>
      <c r="J50" s="323"/>
      <c r="K50" s="323" t="e">
        <f>SUM(K51)</f>
        <v>#N/A</v>
      </c>
      <c r="L50" s="323"/>
      <c r="M50" s="336" t="e">
        <f>SUM(M51)</f>
        <v>#N/A</v>
      </c>
      <c r="N50" s="283"/>
      <c r="O50" s="341"/>
      <c r="P50" s="341"/>
      <c r="Q50" s="341"/>
      <c r="R50" s="341"/>
      <c r="S50" s="341"/>
      <c r="T50" s="341"/>
      <c r="V50" s="35"/>
    </row>
    <row r="51" spans="1:42" ht="13.5" customHeight="1" x14ac:dyDescent="0.25">
      <c r="B51" s="57" t="s">
        <v>85</v>
      </c>
      <c r="C51" s="339" t="e">
        <f>VLOOKUP($R$4,'DATA ZDROJ'!$B$3:$Y$23,18,0)</f>
        <v>#N/A</v>
      </c>
      <c r="D51" s="339"/>
      <c r="E51" s="339" t="e">
        <f>VLOOKUP($R$4,'DATA ZDROJ'!$B$3:$Y$23,23,0)</f>
        <v>#N/A</v>
      </c>
      <c r="F51" s="339"/>
      <c r="G51" s="337" t="e">
        <f>SUM(C51:F51)</f>
        <v>#N/A</v>
      </c>
      <c r="H51" s="408"/>
      <c r="I51" s="262" t="e">
        <f>VLOOKUP($R$4,'DATA ZDROJ'!$B$3:$Y$23,13,0)</f>
        <v>#N/A</v>
      </c>
      <c r="J51" s="339"/>
      <c r="K51" s="262" t="e">
        <f>VLOOKUP($R$4,'DATA ZDROJ'!$B$3:$AQ$23,41,0)</f>
        <v>#N/A</v>
      </c>
      <c r="L51" s="339"/>
      <c r="M51" s="337" t="e">
        <f>SUM(I51:L51)</f>
        <v>#N/A</v>
      </c>
      <c r="N51" s="290"/>
      <c r="O51" s="341"/>
      <c r="P51" s="341"/>
      <c r="Q51" s="341"/>
      <c r="R51" s="341"/>
      <c r="S51" s="341"/>
      <c r="T51" s="341"/>
      <c r="V51" s="35"/>
    </row>
    <row r="52" spans="1:42" ht="13.5" customHeight="1" x14ac:dyDescent="0.25">
      <c r="B52" s="56" t="s">
        <v>73</v>
      </c>
      <c r="C52" s="323" t="e">
        <f>SUM(C53:C54)</f>
        <v>#N/A</v>
      </c>
      <c r="D52" s="323"/>
      <c r="E52" s="323" t="e">
        <f>SUM(E53:E54)</f>
        <v>#N/A</v>
      </c>
      <c r="F52" s="323"/>
      <c r="G52" s="336" t="e">
        <f>SUM(G53:G54)</f>
        <v>#N/A</v>
      </c>
      <c r="H52" s="420"/>
      <c r="I52" s="282" t="e">
        <f>SUM(I53:I54)</f>
        <v>#N/A</v>
      </c>
      <c r="J52" s="323"/>
      <c r="K52" s="323" t="e">
        <f>SUM(K53:K54)</f>
        <v>#N/A</v>
      </c>
      <c r="L52" s="323"/>
      <c r="M52" s="336" t="e">
        <f>SUM(M53:M54)</f>
        <v>#N/A</v>
      </c>
      <c r="N52" s="283"/>
      <c r="O52" s="341"/>
      <c r="P52" s="341"/>
      <c r="Q52" s="341"/>
      <c r="R52" s="341"/>
      <c r="S52" s="341"/>
      <c r="T52" s="341"/>
      <c r="V52" s="35"/>
    </row>
    <row r="53" spans="1:42" ht="13.5" customHeight="1" x14ac:dyDescent="0.25">
      <c r="B53" s="57" t="s">
        <v>86</v>
      </c>
      <c r="C53" s="339" t="e">
        <f>VLOOKUP($R$4,'DATA ZDROJ'!$B$3:$Y$23,15,0)</f>
        <v>#N/A</v>
      </c>
      <c r="D53" s="339"/>
      <c r="E53" s="339" t="e">
        <f>VLOOKUP($R$4,'DATA ZDROJ'!$B$3:$AA$23,20,0)</f>
        <v>#N/A</v>
      </c>
      <c r="F53" s="339"/>
      <c r="G53" s="337" t="e">
        <f t="shared" ref="G53:G54" si="0">SUM(C53:F53)</f>
        <v>#N/A</v>
      </c>
      <c r="H53" s="408"/>
      <c r="I53" s="262" t="e">
        <f>VLOOKUP($R$4,'DATA ZDROJ'!$B$3:$Y$23,10,0)</f>
        <v>#N/A</v>
      </c>
      <c r="J53" s="339"/>
      <c r="K53" s="262" t="e">
        <f>VLOOKUP($R$4,'DATA ZDROJ'!$B$3:$AQ$23,38,0)</f>
        <v>#N/A</v>
      </c>
      <c r="L53" s="339"/>
      <c r="M53" s="337" t="e">
        <f t="shared" ref="M53:M54" si="1">SUM(I53:L53)</f>
        <v>#N/A</v>
      </c>
      <c r="N53" s="290"/>
      <c r="O53" s="338"/>
      <c r="P53" s="338"/>
      <c r="Q53" s="338"/>
      <c r="R53" s="338"/>
      <c r="S53" s="317"/>
      <c r="T53" s="317"/>
      <c r="V53" s="35"/>
    </row>
    <row r="54" spans="1:42" ht="13.5" customHeight="1" x14ac:dyDescent="0.25">
      <c r="B54" s="58" t="s">
        <v>540</v>
      </c>
      <c r="C54" s="339" t="e">
        <f>VLOOKUP($R$4,'DATA ZDROJ'!$B$3:$Y$23,16,0)</f>
        <v>#N/A</v>
      </c>
      <c r="D54" s="339"/>
      <c r="E54" s="339" t="e">
        <f>VLOOKUP($R$4,'DATA ZDROJ'!$B$3:$AA$23,21,0)</f>
        <v>#N/A</v>
      </c>
      <c r="F54" s="339"/>
      <c r="G54" s="337" t="e">
        <f t="shared" si="0"/>
        <v>#N/A</v>
      </c>
      <c r="H54" s="408"/>
      <c r="I54" s="262" t="e">
        <f>VLOOKUP($R$4,'DATA ZDROJ'!$B$3:$Y$23,11,0)</f>
        <v>#N/A</v>
      </c>
      <c r="J54" s="339"/>
      <c r="K54" s="262" t="e">
        <f>VLOOKUP($R$4,'DATA ZDROJ'!$B$3:$AQ$23,39,0)</f>
        <v>#N/A</v>
      </c>
      <c r="L54" s="339"/>
      <c r="M54" s="337" t="e">
        <f t="shared" si="1"/>
        <v>#N/A</v>
      </c>
      <c r="N54" s="290"/>
      <c r="O54" s="338"/>
      <c r="P54" s="338"/>
      <c r="Q54" s="338"/>
      <c r="R54" s="338"/>
      <c r="S54" s="317"/>
      <c r="T54" s="317"/>
      <c r="V54" s="35"/>
    </row>
    <row r="55" spans="1:42" ht="13.5" customHeight="1" x14ac:dyDescent="0.25">
      <c r="B55" s="56" t="s">
        <v>74</v>
      </c>
      <c r="C55" s="340" t="e">
        <f>SUM(C52,C51)</f>
        <v>#N/A</v>
      </c>
      <c r="D55" s="340"/>
      <c r="E55" s="340" t="e">
        <f>SUM(E52,E51)</f>
        <v>#N/A</v>
      </c>
      <c r="F55" s="340"/>
      <c r="G55" s="340" t="e">
        <f>SUM(G52,G51)</f>
        <v>#N/A</v>
      </c>
      <c r="H55" s="417"/>
      <c r="I55" s="268" t="e">
        <f>SUM(I52,I51)</f>
        <v>#N/A</v>
      </c>
      <c r="J55" s="340"/>
      <c r="K55" s="340" t="e">
        <f>SUM(K52,K51)</f>
        <v>#N/A</v>
      </c>
      <c r="L55" s="340"/>
      <c r="M55" s="340" t="e">
        <f>SUM(M52,M51)</f>
        <v>#N/A</v>
      </c>
      <c r="N55" s="267"/>
      <c r="O55" s="266"/>
      <c r="P55" s="266"/>
      <c r="Q55" s="266"/>
      <c r="R55" s="266"/>
      <c r="S55" s="266"/>
      <c r="T55" s="266"/>
      <c r="V55" s="35"/>
    </row>
    <row r="56" spans="1:42" ht="3" customHeight="1" thickBot="1" x14ac:dyDescent="0.3">
      <c r="B56" s="27"/>
      <c r="C56" s="28"/>
      <c r="D56" s="28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"/>
      <c r="P56" s="2"/>
      <c r="Q56" s="2"/>
      <c r="R56" s="2"/>
      <c r="S56" s="2"/>
      <c r="T56" s="2"/>
    </row>
    <row r="57" spans="1:42" ht="15.75" customHeight="1" thickTop="1" x14ac:dyDescent="0.25">
      <c r="B57" s="479" t="s">
        <v>135</v>
      </c>
      <c r="C57" s="479"/>
      <c r="D57" s="479"/>
      <c r="E57" s="479"/>
      <c r="F57" s="479"/>
      <c r="G57" s="479"/>
      <c r="H57" s="479"/>
      <c r="I57" s="479"/>
      <c r="J57" s="479"/>
      <c r="K57" s="479"/>
      <c r="L57" s="479"/>
      <c r="M57" s="480" t="s">
        <v>128</v>
      </c>
      <c r="N57" s="480"/>
      <c r="O57" s="481"/>
      <c r="P57" s="481"/>
      <c r="Q57" s="481"/>
      <c r="R57" s="481"/>
      <c r="S57" s="481"/>
      <c r="T57" s="481"/>
    </row>
    <row r="58" spans="1:42" s="11" customFormat="1" ht="13.5" customHeight="1" x14ac:dyDescent="0.2">
      <c r="A58" s="10"/>
      <c r="B58" s="421" t="s">
        <v>3</v>
      </c>
      <c r="C58" s="361" t="s">
        <v>302</v>
      </c>
      <c r="D58" s="422"/>
      <c r="E58" s="422"/>
      <c r="F58" s="422"/>
      <c r="G58" s="422"/>
      <c r="H58" s="423"/>
      <c r="I58" s="360" t="s">
        <v>125</v>
      </c>
      <c r="J58" s="358"/>
      <c r="K58" s="358"/>
      <c r="L58" s="358"/>
      <c r="M58" s="358"/>
      <c r="N58" s="361"/>
      <c r="O58" s="341" t="s">
        <v>476</v>
      </c>
      <c r="P58" s="341"/>
      <c r="Q58" s="341"/>
      <c r="R58" s="341"/>
      <c r="S58" s="341"/>
      <c r="T58" s="341"/>
      <c r="U58" s="10"/>
      <c r="AP58" s="12"/>
    </row>
    <row r="59" spans="1:42" s="11" customFormat="1" ht="11.25" customHeight="1" x14ac:dyDescent="0.2">
      <c r="A59" s="10"/>
      <c r="B59" s="421"/>
      <c r="C59" s="265">
        <v>2024</v>
      </c>
      <c r="D59" s="265"/>
      <c r="E59" s="265">
        <v>2025</v>
      </c>
      <c r="F59" s="265"/>
      <c r="G59" s="265" t="s">
        <v>108</v>
      </c>
      <c r="H59" s="418"/>
      <c r="I59" s="419">
        <v>2024</v>
      </c>
      <c r="J59" s="265"/>
      <c r="K59" s="265">
        <v>2025</v>
      </c>
      <c r="L59" s="265"/>
      <c r="M59" s="265" t="s">
        <v>108</v>
      </c>
      <c r="N59" s="362"/>
      <c r="O59" s="341"/>
      <c r="P59" s="341"/>
      <c r="Q59" s="341"/>
      <c r="R59" s="341"/>
      <c r="S59" s="341"/>
      <c r="T59" s="341"/>
      <c r="U59" s="10"/>
      <c r="AP59" s="12"/>
    </row>
    <row r="60" spans="1:42" ht="13.5" customHeight="1" x14ac:dyDescent="0.25">
      <c r="B60" s="56" t="s">
        <v>51</v>
      </c>
      <c r="C60" s="323" t="e">
        <f>SUM(C61)</f>
        <v>#N/A</v>
      </c>
      <c r="D60" s="323"/>
      <c r="E60" s="323">
        <f>SUM(E61)</f>
        <v>0</v>
      </c>
      <c r="F60" s="323"/>
      <c r="G60" s="336" t="e">
        <f>SUM(G61)</f>
        <v>#N/A</v>
      </c>
      <c r="H60" s="420"/>
      <c r="I60" s="282" t="e">
        <f>SUM(I61)</f>
        <v>#N/A</v>
      </c>
      <c r="J60" s="323"/>
      <c r="K60" s="323">
        <f>SUM(K61)</f>
        <v>0</v>
      </c>
      <c r="L60" s="323"/>
      <c r="M60" s="336" t="e">
        <f>SUM(M61)</f>
        <v>#N/A</v>
      </c>
      <c r="N60" s="283"/>
      <c r="O60" s="341"/>
      <c r="P60" s="341"/>
      <c r="Q60" s="341"/>
      <c r="R60" s="341"/>
      <c r="S60" s="341"/>
      <c r="T60" s="341"/>
      <c r="V60" s="35"/>
    </row>
    <row r="61" spans="1:42" ht="13.5" customHeight="1" x14ac:dyDescent="0.25">
      <c r="B61" s="57" t="s">
        <v>85</v>
      </c>
      <c r="C61" s="289" t="e">
        <f>VLOOKUP($R$4,'DATA ZDROJ čerpání 2024'!$B$3:$R$24,11,0)</f>
        <v>#N/A</v>
      </c>
      <c r="D61" s="262"/>
      <c r="E61" s="407"/>
      <c r="F61" s="407"/>
      <c r="G61" s="337" t="e">
        <f>SUM(C61:F61)</f>
        <v>#N/A</v>
      </c>
      <c r="H61" s="408"/>
      <c r="I61" s="262" t="e">
        <f>VLOOKUP($R$4,'DATA ZDROJ čerpání 2024'!$B$3:$U$24,20,0)</f>
        <v>#N/A</v>
      </c>
      <c r="J61" s="339"/>
      <c r="K61" s="407"/>
      <c r="L61" s="407"/>
      <c r="M61" s="337" t="e">
        <f>SUM(I61:L61)</f>
        <v>#N/A</v>
      </c>
      <c r="N61" s="290"/>
      <c r="O61" s="341"/>
      <c r="P61" s="341"/>
      <c r="Q61" s="341"/>
      <c r="R61" s="341"/>
      <c r="S61" s="341"/>
      <c r="T61" s="341"/>
      <c r="V61" s="35"/>
    </row>
    <row r="62" spans="1:42" ht="13.5" customHeight="1" x14ac:dyDescent="0.25">
      <c r="B62" s="56" t="s">
        <v>73</v>
      </c>
      <c r="C62" s="323" t="e">
        <f>SUM(C63:C64)</f>
        <v>#N/A</v>
      </c>
      <c r="D62" s="323"/>
      <c r="E62" s="323">
        <f>SUM(E63:E64)</f>
        <v>0</v>
      </c>
      <c r="F62" s="323"/>
      <c r="G62" s="336" t="e">
        <f>SUM(G63:G64)</f>
        <v>#N/A</v>
      </c>
      <c r="H62" s="420"/>
      <c r="I62" s="282" t="e">
        <f>SUM(I63:I64)</f>
        <v>#N/A</v>
      </c>
      <c r="J62" s="323"/>
      <c r="K62" s="323">
        <f>SUM(K63:K64)</f>
        <v>0</v>
      </c>
      <c r="L62" s="323"/>
      <c r="M62" s="336" t="e">
        <f>SUM(M63:M64)</f>
        <v>#N/A</v>
      </c>
      <c r="N62" s="283"/>
      <c r="O62" s="341"/>
      <c r="P62" s="341"/>
      <c r="Q62" s="341"/>
      <c r="R62" s="341"/>
      <c r="S62" s="341"/>
      <c r="T62" s="341"/>
      <c r="V62" s="35"/>
    </row>
    <row r="63" spans="1:42" ht="13.5" customHeight="1" x14ac:dyDescent="0.25">
      <c r="B63" s="57" t="s">
        <v>86</v>
      </c>
      <c r="C63" s="339" t="e">
        <f>VLOOKUP($R$4,'DATA ZDROJ čerpání 2024'!$B$3:$R$24,9,0)</f>
        <v>#N/A</v>
      </c>
      <c r="D63" s="339"/>
      <c r="E63" s="407"/>
      <c r="F63" s="407"/>
      <c r="G63" s="337" t="e">
        <f t="shared" ref="G63" si="2">SUM(C63:F63)</f>
        <v>#N/A</v>
      </c>
      <c r="H63" s="408"/>
      <c r="I63" s="262" t="e">
        <f>VLOOKUP($R$4,'DATA ZDROJ čerpání 2024'!$B$3:$T$24,18,0)</f>
        <v>#N/A</v>
      </c>
      <c r="J63" s="339"/>
      <c r="K63" s="407"/>
      <c r="L63" s="407"/>
      <c r="M63" s="337" t="e">
        <f t="shared" ref="M63:M64" si="3">SUM(I63:L63)</f>
        <v>#N/A</v>
      </c>
      <c r="N63" s="290"/>
      <c r="O63" s="338"/>
      <c r="P63" s="338"/>
      <c r="Q63" s="338"/>
      <c r="R63" s="338"/>
      <c r="S63" s="317"/>
      <c r="T63" s="317"/>
      <c r="V63" s="35"/>
    </row>
    <row r="64" spans="1:42" ht="13.5" customHeight="1" x14ac:dyDescent="0.25">
      <c r="B64" s="58" t="s">
        <v>540</v>
      </c>
      <c r="C64" s="289" t="e">
        <f>VLOOKUP($R$4,'DATA ZDROJ čerpání 2024'!$B$3:$R$24,10,0)</f>
        <v>#N/A</v>
      </c>
      <c r="D64" s="262"/>
      <c r="E64" s="407"/>
      <c r="F64" s="407"/>
      <c r="G64" s="337" t="e">
        <f>SUM(C64:F64)</f>
        <v>#N/A</v>
      </c>
      <c r="H64" s="408"/>
      <c r="I64" s="262" t="e">
        <f>VLOOKUP($R$4,'DATA ZDROJ čerpání 2024'!$B$3:$T$24,19,0)</f>
        <v>#N/A</v>
      </c>
      <c r="J64" s="339"/>
      <c r="K64" s="407"/>
      <c r="L64" s="407"/>
      <c r="M64" s="337" t="e">
        <f t="shared" si="3"/>
        <v>#N/A</v>
      </c>
      <c r="N64" s="290"/>
      <c r="O64" s="338"/>
      <c r="P64" s="338"/>
      <c r="Q64" s="338"/>
      <c r="R64" s="338"/>
      <c r="S64" s="317"/>
      <c r="T64" s="317"/>
      <c r="V64" s="35"/>
    </row>
    <row r="65" spans="1:42" ht="13.5" customHeight="1" x14ac:dyDescent="0.25">
      <c r="B65" s="56" t="s">
        <v>74</v>
      </c>
      <c r="C65" s="340" t="e">
        <f>SUM(C62,C61)</f>
        <v>#N/A</v>
      </c>
      <c r="D65" s="340"/>
      <c r="E65" s="340">
        <f>SUM(E62,E61)</f>
        <v>0</v>
      </c>
      <c r="F65" s="340"/>
      <c r="G65" s="340" t="e">
        <f>SUM(G62,G61)</f>
        <v>#N/A</v>
      </c>
      <c r="H65" s="417"/>
      <c r="I65" s="268" t="e">
        <f>SUM(I62,I61)</f>
        <v>#N/A</v>
      </c>
      <c r="J65" s="340"/>
      <c r="K65" s="340">
        <f>SUM(K62,K61)</f>
        <v>0</v>
      </c>
      <c r="L65" s="340"/>
      <c r="M65" s="340" t="e">
        <f>SUM(M62,M61)</f>
        <v>#N/A</v>
      </c>
      <c r="N65" s="267"/>
      <c r="O65" s="266"/>
      <c r="P65" s="266"/>
      <c r="Q65" s="266"/>
      <c r="R65" s="266"/>
      <c r="S65" s="266"/>
      <c r="T65" s="266"/>
      <c r="V65" s="35"/>
    </row>
    <row r="66" spans="1:42" ht="3" customHeight="1" thickBot="1" x14ac:dyDescent="0.3">
      <c r="B66" s="27"/>
      <c r="C66" s="28"/>
      <c r="D66" s="28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"/>
      <c r="P66" s="2"/>
      <c r="Q66" s="2"/>
      <c r="R66" s="2"/>
      <c r="S66" s="2"/>
      <c r="T66" s="2"/>
    </row>
    <row r="67" spans="1:42" ht="15.75" customHeight="1" thickTop="1" x14ac:dyDescent="0.25">
      <c r="B67" s="409" t="s">
        <v>490</v>
      </c>
      <c r="C67" s="409"/>
      <c r="D67" s="409"/>
      <c r="E67" s="409"/>
      <c r="F67" s="409"/>
      <c r="G67" s="409"/>
      <c r="H67" s="409"/>
      <c r="I67" s="409"/>
      <c r="J67" s="409"/>
      <c r="K67" s="409"/>
      <c r="L67" s="409"/>
      <c r="M67" s="409"/>
      <c r="N67" s="409"/>
      <c r="O67" s="410"/>
      <c r="P67" s="410"/>
      <c r="Q67" s="410"/>
      <c r="R67" s="410"/>
      <c r="S67" s="410"/>
      <c r="T67" s="410"/>
    </row>
    <row r="68" spans="1:42" s="11" customFormat="1" ht="12.75" customHeight="1" x14ac:dyDescent="0.2">
      <c r="A68" s="10"/>
      <c r="B68" s="411" t="s">
        <v>3</v>
      </c>
      <c r="C68" s="361" t="s">
        <v>303</v>
      </c>
      <c r="D68" s="422"/>
      <c r="E68" s="422"/>
      <c r="F68" s="422"/>
      <c r="G68" s="422"/>
      <c r="H68" s="477"/>
      <c r="I68" s="422" t="s">
        <v>136</v>
      </c>
      <c r="J68" s="422"/>
      <c r="K68" s="422"/>
      <c r="L68" s="422"/>
      <c r="M68" s="422"/>
      <c r="N68" s="422"/>
      <c r="O68" s="341" t="s">
        <v>491</v>
      </c>
      <c r="P68" s="341"/>
      <c r="Q68" s="341"/>
      <c r="R68" s="341"/>
      <c r="S68" s="341"/>
      <c r="T68" s="341"/>
      <c r="U68" s="10"/>
      <c r="AP68" s="12"/>
    </row>
    <row r="69" spans="1:42" s="11" customFormat="1" ht="11.25" customHeight="1" x14ac:dyDescent="0.2">
      <c r="A69" s="10"/>
      <c r="B69" s="412"/>
      <c r="C69" s="318">
        <v>2024</v>
      </c>
      <c r="D69" s="330"/>
      <c r="E69" s="318">
        <v>2025</v>
      </c>
      <c r="F69" s="330"/>
      <c r="G69" s="318" t="s">
        <v>108</v>
      </c>
      <c r="H69" s="478"/>
      <c r="I69" s="329">
        <v>2024</v>
      </c>
      <c r="J69" s="330"/>
      <c r="K69" s="318">
        <v>2025</v>
      </c>
      <c r="L69" s="330"/>
      <c r="M69" s="318" t="s">
        <v>108</v>
      </c>
      <c r="N69" s="329"/>
      <c r="O69" s="341"/>
      <c r="P69" s="341"/>
      <c r="Q69" s="341"/>
      <c r="R69" s="341"/>
      <c r="S69" s="341"/>
      <c r="T69" s="341"/>
      <c r="U69" s="10"/>
      <c r="AP69" s="12"/>
    </row>
    <row r="70" spans="1:42" ht="13.5" customHeight="1" x14ac:dyDescent="0.25">
      <c r="B70" s="56" t="s">
        <v>51</v>
      </c>
      <c r="C70" s="281" t="e">
        <f>SUM(C71)</f>
        <v>#N/A</v>
      </c>
      <c r="D70" s="282"/>
      <c r="E70" s="281" t="e">
        <f>SUM(E71)</f>
        <v>#N/A</v>
      </c>
      <c r="F70" s="282"/>
      <c r="G70" s="283" t="e">
        <f>SUM(G71)</f>
        <v>#N/A</v>
      </c>
      <c r="H70" s="472"/>
      <c r="I70" s="285" t="e">
        <f>SUM(I71)</f>
        <v>#N/A</v>
      </c>
      <c r="J70" s="282"/>
      <c r="K70" s="281" t="e">
        <f>SUM(K71)</f>
        <v>#N/A</v>
      </c>
      <c r="L70" s="282"/>
      <c r="M70" s="283" t="e">
        <f>SUM(M71)</f>
        <v>#N/A</v>
      </c>
      <c r="N70" s="394"/>
      <c r="O70" s="341"/>
      <c r="P70" s="341"/>
      <c r="Q70" s="341"/>
      <c r="R70" s="341"/>
      <c r="S70" s="341"/>
      <c r="T70" s="341"/>
      <c r="V70" s="35"/>
    </row>
    <row r="71" spans="1:42" ht="13.5" customHeight="1" x14ac:dyDescent="0.25">
      <c r="B71" s="57" t="s">
        <v>85</v>
      </c>
      <c r="C71" s="289" t="e">
        <f>SUM(C51,C61)</f>
        <v>#N/A</v>
      </c>
      <c r="D71" s="262"/>
      <c r="E71" s="289" t="e">
        <f>SUM(E51,E61)</f>
        <v>#N/A</v>
      </c>
      <c r="F71" s="262"/>
      <c r="G71" s="290" t="e">
        <f>SUM(C71:F71)</f>
        <v>#N/A</v>
      </c>
      <c r="H71" s="473"/>
      <c r="I71" s="261" t="e">
        <f>SUM(I51,I61)</f>
        <v>#N/A</v>
      </c>
      <c r="J71" s="262"/>
      <c r="K71" s="289" t="e">
        <f>SUM(K51,K61)</f>
        <v>#N/A</v>
      </c>
      <c r="L71" s="262"/>
      <c r="M71" s="290" t="e">
        <f>SUM(I71:L71)</f>
        <v>#N/A</v>
      </c>
      <c r="N71" s="315"/>
      <c r="O71" s="341"/>
      <c r="P71" s="341"/>
      <c r="Q71" s="341"/>
      <c r="R71" s="341"/>
      <c r="S71" s="341"/>
      <c r="T71" s="341"/>
      <c r="V71" s="35"/>
    </row>
    <row r="72" spans="1:42" ht="13.5" customHeight="1" x14ac:dyDescent="0.25">
      <c r="B72" s="56" t="s">
        <v>73</v>
      </c>
      <c r="C72" s="281" t="e">
        <f>SUM(C73:C74)</f>
        <v>#N/A</v>
      </c>
      <c r="D72" s="282"/>
      <c r="E72" s="281" t="e">
        <f>SUM(E73:E74)</f>
        <v>#N/A</v>
      </c>
      <c r="F72" s="282"/>
      <c r="G72" s="283" t="e">
        <f>SUM(G73:G74)</f>
        <v>#N/A</v>
      </c>
      <c r="H72" s="472"/>
      <c r="I72" s="285" t="e">
        <f>SUM(I73:I74)</f>
        <v>#N/A</v>
      </c>
      <c r="J72" s="282"/>
      <c r="K72" s="281" t="e">
        <f>SUM(K73:K74)</f>
        <v>#N/A</v>
      </c>
      <c r="L72" s="282"/>
      <c r="M72" s="283" t="e">
        <f>SUM(M73:M74)</f>
        <v>#N/A</v>
      </c>
      <c r="N72" s="394"/>
      <c r="O72" s="476"/>
      <c r="P72" s="476"/>
      <c r="Q72" s="476"/>
      <c r="R72" s="476"/>
      <c r="S72" s="474"/>
      <c r="T72" s="474"/>
      <c r="V72" s="35"/>
    </row>
    <row r="73" spans="1:42" ht="13.5" customHeight="1" x14ac:dyDescent="0.25">
      <c r="B73" s="57" t="s">
        <v>86</v>
      </c>
      <c r="C73" s="289" t="e">
        <f>SUM(C53,C63)</f>
        <v>#N/A</v>
      </c>
      <c r="D73" s="262"/>
      <c r="E73" s="289" t="e">
        <f t="shared" ref="E73" si="4">SUM(E53,E63)</f>
        <v>#N/A</v>
      </c>
      <c r="F73" s="262"/>
      <c r="G73" s="290" t="e">
        <f t="shared" ref="G73:G74" si="5">SUM(C73:F73)</f>
        <v>#N/A</v>
      </c>
      <c r="H73" s="473"/>
      <c r="I73" s="261" t="e">
        <f>SUM(I53,I63)</f>
        <v>#N/A</v>
      </c>
      <c r="J73" s="262"/>
      <c r="K73" s="289" t="e">
        <f>SUM(K53,K63)</f>
        <v>#N/A</v>
      </c>
      <c r="L73" s="262"/>
      <c r="M73" s="290" t="e">
        <f t="shared" ref="M73:M74" si="6">SUM(I73:L73)</f>
        <v>#N/A</v>
      </c>
      <c r="N73" s="315"/>
      <c r="O73" s="338"/>
      <c r="P73" s="338"/>
      <c r="Q73" s="338"/>
      <c r="R73" s="338"/>
      <c r="S73" s="317"/>
      <c r="T73" s="317"/>
      <c r="V73" s="35"/>
    </row>
    <row r="74" spans="1:42" ht="13.5" customHeight="1" x14ac:dyDescent="0.25">
      <c r="B74" s="58" t="s">
        <v>540</v>
      </c>
      <c r="C74" s="289" t="e">
        <f>SUM(C54,C64)</f>
        <v>#N/A</v>
      </c>
      <c r="D74" s="262"/>
      <c r="E74" s="289" t="e">
        <f t="shared" ref="E74" si="7">SUM(E54,E64)</f>
        <v>#N/A</v>
      </c>
      <c r="F74" s="262"/>
      <c r="G74" s="290" t="e">
        <f t="shared" si="5"/>
        <v>#N/A</v>
      </c>
      <c r="H74" s="473"/>
      <c r="I74" s="261" t="e">
        <f>SUM(I54,I64)</f>
        <v>#N/A</v>
      </c>
      <c r="J74" s="262"/>
      <c r="K74" s="289" t="e">
        <f>SUM(K54,K64)</f>
        <v>#N/A</v>
      </c>
      <c r="L74" s="262"/>
      <c r="M74" s="290" t="e">
        <f t="shared" si="6"/>
        <v>#N/A</v>
      </c>
      <c r="N74" s="315"/>
      <c r="O74" s="338"/>
      <c r="P74" s="338"/>
      <c r="Q74" s="338"/>
      <c r="R74" s="338"/>
      <c r="S74" s="317"/>
      <c r="T74" s="317"/>
      <c r="V74" s="35"/>
    </row>
    <row r="75" spans="1:42" ht="13.5" customHeight="1" x14ac:dyDescent="0.25">
      <c r="B75" s="56" t="s">
        <v>74</v>
      </c>
      <c r="C75" s="267" t="e">
        <f>SUM(C72,C71)</f>
        <v>#N/A</v>
      </c>
      <c r="D75" s="268"/>
      <c r="E75" s="267" t="e">
        <f>SUM(E72,E71)</f>
        <v>#N/A</v>
      </c>
      <c r="F75" s="268"/>
      <c r="G75" s="267" t="e">
        <f>SUM(G72,G71)</f>
        <v>#N/A</v>
      </c>
      <c r="H75" s="482"/>
      <c r="I75" s="270" t="e">
        <f>SUM(I72,I71)</f>
        <v>#N/A</v>
      </c>
      <c r="J75" s="268"/>
      <c r="K75" s="267" t="e">
        <f>SUM(K72,K71)</f>
        <v>#N/A</v>
      </c>
      <c r="L75" s="268"/>
      <c r="M75" s="267" t="e">
        <f>SUM(M72,M71)</f>
        <v>#N/A</v>
      </c>
      <c r="N75" s="270"/>
      <c r="O75" s="266"/>
      <c r="P75" s="266"/>
      <c r="Q75" s="266"/>
      <c r="R75" s="266"/>
      <c r="S75" s="266"/>
      <c r="T75" s="266"/>
      <c r="V75" s="35"/>
    </row>
    <row r="76" spans="1:42" ht="3" customHeight="1" thickBot="1" x14ac:dyDescent="0.3">
      <c r="B76" s="27"/>
      <c r="C76" s="28"/>
      <c r="D76" s="28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"/>
      <c r="P76" s="2"/>
      <c r="Q76" s="2"/>
      <c r="R76" s="2"/>
      <c r="S76" s="2"/>
      <c r="T76" s="2"/>
    </row>
    <row r="77" spans="1:42" ht="15.75" customHeight="1" thickTop="1" x14ac:dyDescent="0.25">
      <c r="B77" s="409" t="s">
        <v>72</v>
      </c>
      <c r="C77" s="409"/>
      <c r="D77" s="409"/>
      <c r="E77" s="409"/>
      <c r="F77" s="409"/>
      <c r="G77" s="409"/>
      <c r="H77" s="409"/>
      <c r="I77" s="409"/>
      <c r="J77" s="409"/>
      <c r="K77" s="409"/>
      <c r="L77" s="409"/>
      <c r="M77" s="409"/>
      <c r="N77" s="409"/>
      <c r="O77" s="410"/>
      <c r="P77" s="410"/>
      <c r="Q77" s="410"/>
      <c r="R77" s="410"/>
      <c r="S77" s="410"/>
      <c r="T77" s="410"/>
    </row>
    <row r="78" spans="1:42" s="11" customFormat="1" ht="12.75" customHeight="1" x14ac:dyDescent="0.2">
      <c r="A78" s="10"/>
      <c r="B78" s="411" t="s">
        <v>3</v>
      </c>
      <c r="C78" s="361" t="s">
        <v>492</v>
      </c>
      <c r="D78" s="422"/>
      <c r="E78" s="422"/>
      <c r="F78" s="422"/>
      <c r="G78" s="422"/>
      <c r="H78" s="423"/>
      <c r="I78" s="422" t="s">
        <v>493</v>
      </c>
      <c r="J78" s="422"/>
      <c r="K78" s="422"/>
      <c r="L78" s="422"/>
      <c r="M78" s="422"/>
      <c r="N78" s="422"/>
      <c r="O78" s="341" t="s">
        <v>494</v>
      </c>
      <c r="P78" s="341"/>
      <c r="Q78" s="341"/>
      <c r="R78" s="341"/>
      <c r="S78" s="341"/>
      <c r="T78" s="341"/>
      <c r="U78" s="10"/>
      <c r="AP78" s="12"/>
    </row>
    <row r="79" spans="1:42" s="11" customFormat="1" ht="11.25" customHeight="1" x14ac:dyDescent="0.2">
      <c r="A79" s="10"/>
      <c r="B79" s="412"/>
      <c r="C79" s="318">
        <v>2024</v>
      </c>
      <c r="D79" s="330"/>
      <c r="E79" s="318">
        <v>2025</v>
      </c>
      <c r="F79" s="330"/>
      <c r="G79" s="318" t="s">
        <v>108</v>
      </c>
      <c r="H79" s="319"/>
      <c r="I79" s="329">
        <v>2024</v>
      </c>
      <c r="J79" s="330"/>
      <c r="K79" s="318">
        <v>2025</v>
      </c>
      <c r="L79" s="330"/>
      <c r="M79" s="318" t="s">
        <v>108</v>
      </c>
      <c r="N79" s="329"/>
      <c r="O79" s="341"/>
      <c r="P79" s="341"/>
      <c r="Q79" s="341"/>
      <c r="R79" s="341"/>
      <c r="S79" s="341"/>
      <c r="T79" s="341"/>
      <c r="U79" s="10"/>
      <c r="AP79" s="12"/>
    </row>
    <row r="80" spans="1:42" ht="13.5" customHeight="1" x14ac:dyDescent="0.25">
      <c r="B80" s="56" t="s">
        <v>51</v>
      </c>
      <c r="C80" s="281" t="e">
        <f>SUM(C81)</f>
        <v>#N/A</v>
      </c>
      <c r="D80" s="282"/>
      <c r="E80" s="281">
        <f>SUM(E81)</f>
        <v>0</v>
      </c>
      <c r="F80" s="282"/>
      <c r="G80" s="283" t="e">
        <f>SUM(G81)</f>
        <v>#N/A</v>
      </c>
      <c r="H80" s="284"/>
      <c r="I80" s="285" t="e">
        <f>SUM(I81)</f>
        <v>#N/A</v>
      </c>
      <c r="J80" s="282"/>
      <c r="K80" s="281">
        <f>SUM(K81)</f>
        <v>0</v>
      </c>
      <c r="L80" s="282"/>
      <c r="M80" s="283" t="e">
        <f>SUM(M81)</f>
        <v>#N/A</v>
      </c>
      <c r="N80" s="394"/>
      <c r="O80" s="341"/>
      <c r="P80" s="341"/>
      <c r="Q80" s="341"/>
      <c r="R80" s="341"/>
      <c r="S80" s="341"/>
      <c r="T80" s="341"/>
      <c r="V80" s="35"/>
    </row>
    <row r="81" spans="1:42" ht="13.5" customHeight="1" x14ac:dyDescent="0.25">
      <c r="B81" s="57" t="s">
        <v>85</v>
      </c>
      <c r="C81" s="289" t="e">
        <f>VLOOKUP($R$4,'DATA ZDROJ čerpání 2024'!$B$3:$R$24,12,0)</f>
        <v>#N/A</v>
      </c>
      <c r="D81" s="262"/>
      <c r="E81" s="259"/>
      <c r="F81" s="260"/>
      <c r="G81" s="290" t="e">
        <f>SUM(C81:F81)</f>
        <v>#N/A</v>
      </c>
      <c r="H81" s="291"/>
      <c r="I81" s="261" t="e">
        <f>VLOOKUP($R$4,'DATA ZDROJ čerpání 2024'!$B$3:$R$24,15,0)</f>
        <v>#N/A</v>
      </c>
      <c r="J81" s="262"/>
      <c r="K81" s="259"/>
      <c r="L81" s="260"/>
      <c r="M81" s="290" t="e">
        <f>SUM(I81:L81)</f>
        <v>#N/A</v>
      </c>
      <c r="N81" s="315"/>
      <c r="O81" s="338"/>
      <c r="P81" s="338"/>
      <c r="Q81" s="338"/>
      <c r="R81" s="338"/>
      <c r="S81" s="317"/>
      <c r="T81" s="317"/>
      <c r="V81" s="35"/>
    </row>
    <row r="82" spans="1:42" ht="13.5" customHeight="1" x14ac:dyDescent="0.25">
      <c r="B82" s="56" t="s">
        <v>73</v>
      </c>
      <c r="C82" s="281" t="e">
        <f>SUM(C83:C84)</f>
        <v>#N/A</v>
      </c>
      <c r="D82" s="282"/>
      <c r="E82" s="281">
        <f>SUM(E83:E83)</f>
        <v>0</v>
      </c>
      <c r="F82" s="282"/>
      <c r="G82" s="283" t="e">
        <f>SUM(G83:G84)</f>
        <v>#N/A</v>
      </c>
      <c r="H82" s="284"/>
      <c r="I82" s="285" t="e">
        <f>SUM(I84:I84)</f>
        <v>#N/A</v>
      </c>
      <c r="J82" s="282"/>
      <c r="K82" s="281">
        <f>SUM(K83:K83)</f>
        <v>0</v>
      </c>
      <c r="L82" s="282"/>
      <c r="M82" s="283" t="e">
        <f>SUM(M83:M84)</f>
        <v>#N/A</v>
      </c>
      <c r="N82" s="394"/>
      <c r="O82" s="476"/>
      <c r="P82" s="476"/>
      <c r="Q82" s="476"/>
      <c r="R82" s="476"/>
      <c r="S82" s="474"/>
      <c r="T82" s="474"/>
      <c r="V82" s="35"/>
    </row>
    <row r="83" spans="1:42" ht="13.5" customHeight="1" x14ac:dyDescent="0.25">
      <c r="B83" s="57" t="s">
        <v>86</v>
      </c>
      <c r="C83" s="289" t="e">
        <f>VLOOKUP($R$4,'DATA ZDROJ čerpání 2024'!$B$3:$R$24,13,0)</f>
        <v>#N/A</v>
      </c>
      <c r="D83" s="262"/>
      <c r="E83" s="259"/>
      <c r="F83" s="260"/>
      <c r="G83" s="290" t="e">
        <f>SUM(C83:F83)</f>
        <v>#N/A</v>
      </c>
      <c r="H83" s="291"/>
      <c r="I83" s="261" t="e">
        <f>VLOOKUP($R$4,'DATA ZDROJ čerpání 2024'!$B$3:$R$24,16,0)</f>
        <v>#N/A</v>
      </c>
      <c r="J83" s="262"/>
      <c r="K83" s="259"/>
      <c r="L83" s="260"/>
      <c r="M83" s="290" t="e">
        <f>SUM(I83:L83)</f>
        <v>#N/A</v>
      </c>
      <c r="N83" s="315"/>
      <c r="O83" s="338"/>
      <c r="P83" s="338"/>
      <c r="Q83" s="338"/>
      <c r="R83" s="338"/>
      <c r="S83" s="317"/>
      <c r="T83" s="317"/>
      <c r="V83" s="35"/>
    </row>
    <row r="84" spans="1:42" ht="13.5" customHeight="1" x14ac:dyDescent="0.25">
      <c r="B84" s="58" t="s">
        <v>540</v>
      </c>
      <c r="C84" s="289" t="e">
        <f>VLOOKUP($R$4,'DATA ZDROJ čerpání 2024'!$B$3:$R$24,14,0)</f>
        <v>#N/A</v>
      </c>
      <c r="D84" s="262"/>
      <c r="E84" s="259"/>
      <c r="F84" s="260"/>
      <c r="G84" s="290" t="e">
        <f t="shared" ref="G84" si="8">SUM(C84:F84)</f>
        <v>#N/A</v>
      </c>
      <c r="H84" s="291"/>
      <c r="I84" s="261" t="e">
        <f>VLOOKUP($R$4,'DATA ZDROJ čerpání 2024'!$B$3:$R$24,17,0)</f>
        <v>#N/A</v>
      </c>
      <c r="J84" s="262"/>
      <c r="K84" s="259"/>
      <c r="L84" s="260"/>
      <c r="M84" s="290" t="e">
        <f>SUM(I84:K84)</f>
        <v>#N/A</v>
      </c>
      <c r="N84" s="315"/>
      <c r="O84" s="338"/>
      <c r="P84" s="338"/>
      <c r="Q84" s="338"/>
      <c r="R84" s="338"/>
      <c r="S84" s="317"/>
      <c r="T84" s="317"/>
      <c r="V84" s="35"/>
    </row>
    <row r="85" spans="1:42" ht="13.5" customHeight="1" x14ac:dyDescent="0.25">
      <c r="B85" s="56" t="s">
        <v>74</v>
      </c>
      <c r="C85" s="267" t="e">
        <f>SUM(C82,C81)</f>
        <v>#N/A</v>
      </c>
      <c r="D85" s="268"/>
      <c r="E85" s="267">
        <f>SUM(E82,E81)</f>
        <v>0</v>
      </c>
      <c r="F85" s="268"/>
      <c r="G85" s="267" t="e">
        <f>SUM(G82,G81)</f>
        <v>#N/A</v>
      </c>
      <c r="H85" s="269"/>
      <c r="I85" s="270" t="e">
        <f>SUM(I82,I81)</f>
        <v>#N/A</v>
      </c>
      <c r="J85" s="268"/>
      <c r="K85" s="267">
        <f>SUM(K82,K81)</f>
        <v>0</v>
      </c>
      <c r="L85" s="268"/>
      <c r="M85" s="267" t="e">
        <f>SUM(M82,M81)</f>
        <v>#N/A</v>
      </c>
      <c r="N85" s="270"/>
      <c r="O85" s="266"/>
      <c r="P85" s="266"/>
      <c r="Q85" s="266"/>
      <c r="R85" s="266"/>
      <c r="S85" s="266"/>
      <c r="T85" s="266"/>
      <c r="V85" s="35"/>
    </row>
    <row r="86" spans="1:42" ht="3" customHeight="1" thickBot="1" x14ac:dyDescent="0.3">
      <c r="B86" s="27"/>
      <c r="C86" s="28"/>
      <c r="D86" s="28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"/>
      <c r="P86" s="2"/>
      <c r="Q86" s="2"/>
      <c r="R86" s="2"/>
      <c r="S86" s="2"/>
      <c r="T86" s="2"/>
    </row>
    <row r="87" spans="1:42" ht="15.75" customHeight="1" thickTop="1" x14ac:dyDescent="0.25">
      <c r="B87" s="409" t="s">
        <v>137</v>
      </c>
      <c r="C87" s="409"/>
      <c r="D87" s="409"/>
      <c r="E87" s="409"/>
      <c r="F87" s="409"/>
      <c r="G87" s="409"/>
      <c r="H87" s="409"/>
      <c r="I87" s="409"/>
      <c r="J87" s="409"/>
      <c r="K87" s="409"/>
      <c r="L87" s="409"/>
      <c r="M87" s="409"/>
      <c r="N87" s="409"/>
      <c r="O87" s="410"/>
      <c r="P87" s="410"/>
      <c r="Q87" s="410"/>
      <c r="R87" s="410"/>
      <c r="S87" s="410"/>
      <c r="T87" s="410"/>
    </row>
    <row r="88" spans="1:42" s="11" customFormat="1" ht="12.75" customHeight="1" x14ac:dyDescent="0.2">
      <c r="A88" s="10"/>
      <c r="B88" s="411" t="s">
        <v>3</v>
      </c>
      <c r="C88" s="361" t="s">
        <v>304</v>
      </c>
      <c r="D88" s="422"/>
      <c r="E88" s="422"/>
      <c r="F88" s="422"/>
      <c r="G88" s="422"/>
      <c r="H88" s="423"/>
      <c r="I88" s="422" t="s">
        <v>325</v>
      </c>
      <c r="J88" s="422"/>
      <c r="K88" s="422"/>
      <c r="L88" s="422"/>
      <c r="M88" s="422"/>
      <c r="N88" s="422"/>
      <c r="O88" s="341" t="s">
        <v>475</v>
      </c>
      <c r="P88" s="341"/>
      <c r="Q88" s="341"/>
      <c r="R88" s="341"/>
      <c r="S88" s="341"/>
      <c r="T88" s="341"/>
      <c r="U88" s="10"/>
      <c r="AP88" s="12"/>
    </row>
    <row r="89" spans="1:42" s="11" customFormat="1" ht="11.25" customHeight="1" x14ac:dyDescent="0.2">
      <c r="A89" s="10"/>
      <c r="B89" s="412"/>
      <c r="C89" s="318">
        <v>2024</v>
      </c>
      <c r="D89" s="330"/>
      <c r="E89" s="318">
        <v>2025</v>
      </c>
      <c r="F89" s="330"/>
      <c r="G89" s="318" t="s">
        <v>108</v>
      </c>
      <c r="H89" s="319"/>
      <c r="I89" s="329">
        <v>2024</v>
      </c>
      <c r="J89" s="330"/>
      <c r="K89" s="318">
        <v>2025</v>
      </c>
      <c r="L89" s="330"/>
      <c r="M89" s="318" t="s">
        <v>108</v>
      </c>
      <c r="N89" s="329"/>
      <c r="O89" s="331"/>
      <c r="P89" s="331"/>
      <c r="Q89" s="331"/>
      <c r="R89" s="331"/>
      <c r="S89" s="331"/>
      <c r="T89" s="331"/>
      <c r="U89" s="10"/>
      <c r="AP89" s="12"/>
    </row>
    <row r="90" spans="1:42" ht="13.5" customHeight="1" x14ac:dyDescent="0.25">
      <c r="B90" s="56" t="s">
        <v>51</v>
      </c>
      <c r="C90" s="281" t="e">
        <f>SUM(C91)</f>
        <v>#N/A</v>
      </c>
      <c r="D90" s="282"/>
      <c r="E90" s="281" t="e">
        <f>SUM(E91)</f>
        <v>#N/A</v>
      </c>
      <c r="F90" s="282"/>
      <c r="G90" s="283" t="e">
        <f>SUM(G91)</f>
        <v>#N/A</v>
      </c>
      <c r="H90" s="284"/>
      <c r="I90" s="285" t="e">
        <f>SUM(I91)</f>
        <v>#N/A</v>
      </c>
      <c r="J90" s="282"/>
      <c r="K90" s="281" t="e">
        <f>SUM(K91)</f>
        <v>#N/A</v>
      </c>
      <c r="L90" s="282"/>
      <c r="M90" s="283" t="e">
        <f>SUM(M91)</f>
        <v>#N/A</v>
      </c>
      <c r="N90" s="394"/>
      <c r="O90" s="476"/>
      <c r="P90" s="476"/>
      <c r="Q90" s="476"/>
      <c r="R90" s="476"/>
      <c r="S90" s="474"/>
      <c r="T90" s="474"/>
      <c r="V90" s="35"/>
    </row>
    <row r="91" spans="1:42" ht="13.5" customHeight="1" x14ac:dyDescent="0.25">
      <c r="B91" s="57" t="s">
        <v>85</v>
      </c>
      <c r="C91" s="289" t="e">
        <f>C71-C81</f>
        <v>#N/A</v>
      </c>
      <c r="D91" s="262"/>
      <c r="E91" s="289" t="e">
        <f>E71-E81</f>
        <v>#N/A</v>
      </c>
      <c r="F91" s="262"/>
      <c r="G91" s="290" t="e">
        <f>SUM(C91:F91)</f>
        <v>#N/A</v>
      </c>
      <c r="H91" s="291"/>
      <c r="I91" s="261" t="e">
        <f>I71-I81</f>
        <v>#N/A</v>
      </c>
      <c r="J91" s="262"/>
      <c r="K91" s="289" t="e">
        <f>K71-K81</f>
        <v>#N/A</v>
      </c>
      <c r="L91" s="262"/>
      <c r="M91" s="290" t="e">
        <f>SUM(I91:L91)</f>
        <v>#N/A</v>
      </c>
      <c r="N91" s="315"/>
      <c r="O91" s="316"/>
      <c r="P91" s="316"/>
      <c r="Q91" s="316"/>
      <c r="R91" s="316"/>
      <c r="S91" s="317"/>
      <c r="T91" s="317"/>
      <c r="V91" s="35"/>
    </row>
    <row r="92" spans="1:42" ht="13.5" customHeight="1" x14ac:dyDescent="0.25">
      <c r="B92" s="56" t="s">
        <v>73</v>
      </c>
      <c r="C92" s="281" t="e">
        <f>SUM(C93:C94)</f>
        <v>#N/A</v>
      </c>
      <c r="D92" s="282"/>
      <c r="E92" s="281" t="e">
        <f>SUM(E93:E94)</f>
        <v>#N/A</v>
      </c>
      <c r="F92" s="282"/>
      <c r="G92" s="283" t="e">
        <f>SUM(G93:G94)</f>
        <v>#N/A</v>
      </c>
      <c r="H92" s="284"/>
      <c r="I92" s="285" t="e">
        <f>SUM(I93:I94)</f>
        <v>#N/A</v>
      </c>
      <c r="J92" s="282"/>
      <c r="K92" s="281" t="e">
        <f>SUM(K93:K94)</f>
        <v>#N/A</v>
      </c>
      <c r="L92" s="282"/>
      <c r="M92" s="283" t="e">
        <f>SUM(M93:M94)</f>
        <v>#N/A</v>
      </c>
      <c r="N92" s="394"/>
      <c r="O92" s="476"/>
      <c r="P92" s="476"/>
      <c r="Q92" s="476"/>
      <c r="R92" s="476"/>
      <c r="S92" s="474"/>
      <c r="T92" s="474"/>
      <c r="V92" s="35"/>
    </row>
    <row r="93" spans="1:42" ht="13.5" customHeight="1" x14ac:dyDescent="0.25">
      <c r="B93" s="57" t="s">
        <v>86</v>
      </c>
      <c r="C93" s="289" t="e">
        <f t="shared" ref="C93" si="9">C73-C83</f>
        <v>#N/A</v>
      </c>
      <c r="D93" s="262"/>
      <c r="E93" s="289" t="e">
        <f>E73-E83</f>
        <v>#N/A</v>
      </c>
      <c r="F93" s="262"/>
      <c r="G93" s="290" t="e">
        <f t="shared" ref="G93:G94" si="10">SUM(C93:F93)</f>
        <v>#N/A</v>
      </c>
      <c r="H93" s="291"/>
      <c r="I93" s="261" t="e">
        <f>I73-I83</f>
        <v>#N/A</v>
      </c>
      <c r="J93" s="262"/>
      <c r="K93" s="289" t="e">
        <f>K73-K83</f>
        <v>#N/A</v>
      </c>
      <c r="L93" s="262"/>
      <c r="M93" s="290" t="e">
        <f t="shared" ref="M93:M94" si="11">SUM(I93:L93)</f>
        <v>#N/A</v>
      </c>
      <c r="N93" s="315"/>
      <c r="O93" s="316"/>
      <c r="P93" s="316"/>
      <c r="Q93" s="316"/>
      <c r="R93" s="316"/>
      <c r="S93" s="317"/>
      <c r="T93" s="317"/>
      <c r="V93" s="35"/>
    </row>
    <row r="94" spans="1:42" ht="13.5" customHeight="1" x14ac:dyDescent="0.25">
      <c r="B94" s="58" t="s">
        <v>540</v>
      </c>
      <c r="C94" s="289" t="e">
        <f t="shared" ref="C94" si="12">C74-C84</f>
        <v>#N/A</v>
      </c>
      <c r="D94" s="262"/>
      <c r="E94" s="289" t="e">
        <f>E74-E84</f>
        <v>#N/A</v>
      </c>
      <c r="F94" s="262"/>
      <c r="G94" s="290" t="e">
        <f t="shared" si="10"/>
        <v>#N/A</v>
      </c>
      <c r="H94" s="291"/>
      <c r="I94" s="261" t="e">
        <f>I74-I84</f>
        <v>#N/A</v>
      </c>
      <c r="J94" s="262"/>
      <c r="K94" s="289" t="e">
        <f>K74-K83</f>
        <v>#N/A</v>
      </c>
      <c r="L94" s="262"/>
      <c r="M94" s="290" t="e">
        <f t="shared" si="11"/>
        <v>#N/A</v>
      </c>
      <c r="N94" s="315"/>
      <c r="O94" s="316"/>
      <c r="P94" s="316"/>
      <c r="Q94" s="316"/>
      <c r="R94" s="316"/>
      <c r="S94" s="317"/>
      <c r="T94" s="317"/>
      <c r="V94" s="35"/>
    </row>
    <row r="95" spans="1:42" ht="13.5" customHeight="1" x14ac:dyDescent="0.25">
      <c r="B95" s="56" t="s">
        <v>74</v>
      </c>
      <c r="C95" s="267" t="e">
        <f>SUM(C92,C91)</f>
        <v>#N/A</v>
      </c>
      <c r="D95" s="268"/>
      <c r="E95" s="267" t="e">
        <f>SUM(E92,E91)</f>
        <v>#N/A</v>
      </c>
      <c r="F95" s="268"/>
      <c r="G95" s="267" t="e">
        <f>SUM(G92,G91)</f>
        <v>#N/A</v>
      </c>
      <c r="H95" s="269"/>
      <c r="I95" s="270" t="e">
        <f>SUM(I92,I91)</f>
        <v>#N/A</v>
      </c>
      <c r="J95" s="268"/>
      <c r="K95" s="267" t="e">
        <f>SUM(K92,K91)</f>
        <v>#N/A</v>
      </c>
      <c r="L95" s="268"/>
      <c r="M95" s="267" t="e">
        <f>SUM(M92,M91)</f>
        <v>#N/A</v>
      </c>
      <c r="N95" s="270"/>
      <c r="O95" s="266"/>
      <c r="P95" s="266"/>
      <c r="Q95" s="266"/>
      <c r="R95" s="266"/>
      <c r="S95" s="266"/>
      <c r="T95" s="266"/>
      <c r="V95" s="35"/>
    </row>
    <row r="96" spans="1:42" ht="3" customHeight="1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x14ac:dyDescent="0.25">
      <c r="B97" s="111" t="s">
        <v>138</v>
      </c>
      <c r="C97" s="2"/>
      <c r="D97" s="2"/>
      <c r="E97" s="2"/>
      <c r="F97" s="2"/>
      <c r="G97" s="2"/>
      <c r="H97" s="2"/>
      <c r="I97" s="2"/>
      <c r="J97" s="2"/>
      <c r="K97" s="2"/>
      <c r="L97" s="112"/>
      <c r="M97" s="112"/>
      <c r="N97" s="112"/>
      <c r="O97" s="112"/>
      <c r="P97" s="112"/>
      <c r="Q97" s="112"/>
      <c r="R97" s="112"/>
      <c r="S97" s="112"/>
      <c r="T97" s="112"/>
    </row>
    <row r="98" spans="2:20" ht="10.5" customHeight="1" x14ac:dyDescent="0.25">
      <c r="B98" s="486" t="s">
        <v>313</v>
      </c>
      <c r="C98" s="486"/>
      <c r="D98" s="486"/>
      <c r="E98" s="486"/>
      <c r="F98" s="486"/>
      <c r="G98" s="486"/>
      <c r="H98" s="486"/>
      <c r="I98" s="486"/>
      <c r="J98" s="486"/>
      <c r="K98" s="110">
        <v>-1E-3</v>
      </c>
      <c r="L98" s="489" t="s">
        <v>139</v>
      </c>
      <c r="M98" s="489"/>
      <c r="N98" s="489"/>
      <c r="O98" s="489"/>
      <c r="P98" s="489"/>
      <c r="Q98" s="489"/>
      <c r="R98" s="489"/>
      <c r="S98" s="489"/>
      <c r="T98" s="489"/>
    </row>
    <row r="99" spans="2:20" ht="10.5" customHeight="1" x14ac:dyDescent="0.25">
      <c r="B99" s="487"/>
      <c r="C99" s="487"/>
      <c r="D99" s="487"/>
      <c r="E99" s="487"/>
      <c r="F99" s="487"/>
      <c r="G99" s="487"/>
      <c r="H99" s="487"/>
      <c r="I99" s="487"/>
      <c r="J99" s="487"/>
      <c r="K99" s="109">
        <v>1E-3</v>
      </c>
      <c r="L99" s="490" t="s">
        <v>141</v>
      </c>
      <c r="M99" s="490"/>
      <c r="N99" s="490"/>
      <c r="O99" s="490"/>
      <c r="P99" s="490"/>
      <c r="Q99" s="490"/>
      <c r="R99" s="490"/>
      <c r="S99" s="490"/>
      <c r="T99" s="490"/>
    </row>
    <row r="100" spans="2:20" ht="10.5" customHeight="1" x14ac:dyDescent="0.25">
      <c r="B100" s="487"/>
      <c r="C100" s="487"/>
      <c r="D100" s="487"/>
      <c r="E100" s="487"/>
      <c r="F100" s="487"/>
      <c r="G100" s="487"/>
      <c r="H100" s="487"/>
      <c r="I100" s="487"/>
      <c r="J100" s="487"/>
      <c r="K100" s="109">
        <v>0</v>
      </c>
      <c r="L100" s="490" t="s">
        <v>140</v>
      </c>
      <c r="M100" s="490"/>
      <c r="N100" s="490"/>
      <c r="O100" s="490"/>
      <c r="P100" s="490"/>
      <c r="Q100" s="490"/>
      <c r="R100" s="490"/>
      <c r="S100" s="490"/>
      <c r="T100" s="490"/>
    </row>
    <row r="101" spans="2:20" ht="10.5" customHeight="1" x14ac:dyDescent="0.25">
      <c r="B101" s="487"/>
      <c r="C101" s="487"/>
      <c r="D101" s="487"/>
      <c r="E101" s="487"/>
      <c r="F101" s="487"/>
      <c r="G101" s="487"/>
      <c r="H101" s="487"/>
      <c r="I101" s="487"/>
      <c r="J101" s="487"/>
      <c r="K101" s="101"/>
      <c r="L101" s="101"/>
      <c r="M101" s="488"/>
      <c r="N101" s="488"/>
      <c r="O101" s="488"/>
      <c r="P101" s="488"/>
      <c r="Q101" s="488"/>
      <c r="R101" s="488"/>
      <c r="S101" s="488"/>
      <c r="T101" s="488"/>
    </row>
    <row r="102" spans="2:20" ht="15.75" customHeight="1" thickBot="1" x14ac:dyDescent="0.3">
      <c r="B102" s="273" t="s">
        <v>31</v>
      </c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5"/>
    </row>
    <row r="103" spans="2:20" ht="15" customHeight="1" thickTop="1" x14ac:dyDescent="0.25">
      <c r="B103" s="32"/>
      <c r="C103" s="276" t="s">
        <v>48</v>
      </c>
      <c r="D103" s="277"/>
      <c r="E103" s="277"/>
      <c r="F103" s="277"/>
      <c r="G103" s="277"/>
      <c r="H103" s="277"/>
      <c r="I103" s="277"/>
      <c r="J103" s="277"/>
      <c r="K103" s="277"/>
      <c r="L103" s="277"/>
      <c r="M103" s="277"/>
      <c r="N103" s="277"/>
      <c r="O103" s="277"/>
      <c r="P103" s="277"/>
      <c r="Q103" s="277"/>
      <c r="R103" s="277"/>
      <c r="S103" s="277"/>
      <c r="T103" s="278"/>
    </row>
    <row r="104" spans="2:20" ht="52.5" customHeight="1" x14ac:dyDescent="0.25">
      <c r="B104" s="16" t="s">
        <v>35</v>
      </c>
      <c r="C104" s="279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  <c r="O104" s="279"/>
      <c r="P104" s="279"/>
      <c r="Q104" s="279"/>
      <c r="R104" s="279"/>
      <c r="S104" s="279"/>
      <c r="T104" s="280"/>
    </row>
    <row r="105" spans="2:20" ht="52.5" customHeight="1" x14ac:dyDescent="0.25">
      <c r="B105" s="16" t="s">
        <v>36</v>
      </c>
      <c r="C105" s="279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  <c r="O105" s="279"/>
      <c r="P105" s="279"/>
      <c r="Q105" s="279"/>
      <c r="R105" s="279"/>
      <c r="S105" s="279"/>
      <c r="T105" s="280"/>
    </row>
    <row r="106" spans="2:20" ht="52.5" customHeight="1" x14ac:dyDescent="0.25">
      <c r="B106" s="16" t="s">
        <v>37</v>
      </c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80"/>
    </row>
    <row r="107" spans="2:20" ht="6" customHeight="1" x14ac:dyDescent="0.25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75" customHeight="1" thickBot="1" x14ac:dyDescent="0.3">
      <c r="B108" s="402" t="s">
        <v>341</v>
      </c>
      <c r="C108" s="402"/>
      <c r="D108" s="402"/>
      <c r="E108" s="402"/>
      <c r="F108" s="402"/>
      <c r="G108" s="402"/>
      <c r="H108" s="402"/>
      <c r="I108" s="402"/>
      <c r="J108" s="402"/>
      <c r="K108" s="402"/>
      <c r="L108" s="31">
        <f>$S$7</f>
        <v>2025</v>
      </c>
      <c r="M108" s="31"/>
      <c r="N108" s="31"/>
      <c r="O108" s="26"/>
      <c r="P108" s="26"/>
      <c r="Q108" s="26"/>
      <c r="R108" s="26"/>
      <c r="S108" s="26"/>
      <c r="T108" s="26"/>
    </row>
    <row r="109" spans="2:20" ht="15.75" thickTop="1" x14ac:dyDescent="0.25">
      <c r="B109" s="32"/>
      <c r="C109" s="286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8"/>
    </row>
    <row r="110" spans="2:20" ht="15.75" customHeight="1" x14ac:dyDescent="0.25">
      <c r="B110" s="17" t="s">
        <v>0</v>
      </c>
      <c r="C110" s="263" t="e">
        <f>G10</f>
        <v>#N/A</v>
      </c>
      <c r="D110" s="263"/>
      <c r="E110" s="263"/>
      <c r="F110" s="263"/>
      <c r="G110" s="263"/>
      <c r="H110" s="263"/>
      <c r="I110" s="263"/>
      <c r="J110" s="263"/>
      <c r="K110" s="263"/>
      <c r="L110" s="263"/>
      <c r="M110" s="263"/>
      <c r="N110" s="263"/>
      <c r="O110" s="263"/>
      <c r="P110" s="263"/>
      <c r="Q110" s="263"/>
      <c r="R110" s="263"/>
      <c r="S110" s="263"/>
      <c r="T110" s="264"/>
    </row>
    <row r="111" spans="2:20" ht="13.5" customHeight="1" x14ac:dyDescent="0.25">
      <c r="B111" s="17" t="s">
        <v>1</v>
      </c>
      <c r="C111" s="263" t="s">
        <v>305</v>
      </c>
      <c r="D111" s="263"/>
      <c r="E111" s="263"/>
      <c r="F111" s="263"/>
      <c r="G111" s="263"/>
      <c r="H111" s="263"/>
      <c r="I111" s="263"/>
      <c r="J111" s="263"/>
      <c r="K111" s="263"/>
      <c r="L111" s="263"/>
      <c r="M111" s="263"/>
      <c r="N111" s="263"/>
      <c r="O111" s="263"/>
      <c r="P111" s="263"/>
      <c r="Q111" s="263"/>
      <c r="R111" s="263"/>
      <c r="S111" s="263"/>
      <c r="T111" s="264"/>
    </row>
    <row r="112" spans="2:20" x14ac:dyDescent="0.25">
      <c r="B112" s="18" t="s">
        <v>4</v>
      </c>
      <c r="C112" s="263">
        <v>112</v>
      </c>
      <c r="D112" s="263"/>
      <c r="E112" s="263"/>
      <c r="F112" s="263"/>
      <c r="G112" s="263"/>
      <c r="H112" s="263"/>
      <c r="I112" s="263"/>
      <c r="J112" s="263"/>
      <c r="K112" s="263"/>
      <c r="L112" s="263"/>
      <c r="M112" s="263"/>
      <c r="N112" s="263"/>
      <c r="O112" s="263"/>
      <c r="P112" s="263"/>
      <c r="Q112" s="263"/>
      <c r="R112" s="263"/>
      <c r="S112" s="263"/>
      <c r="T112" s="264"/>
    </row>
    <row r="113" spans="1:42" x14ac:dyDescent="0.25">
      <c r="B113" s="18" t="s">
        <v>49</v>
      </c>
      <c r="C113" s="263" t="s">
        <v>5</v>
      </c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4"/>
    </row>
    <row r="114" spans="1:42" ht="25.5" customHeight="1" x14ac:dyDescent="0.25">
      <c r="B114" s="18" t="s">
        <v>306</v>
      </c>
      <c r="C114" s="427" t="s">
        <v>44</v>
      </c>
      <c r="D114" s="428"/>
      <c r="E114" s="429">
        <f>R4</f>
        <v>0</v>
      </c>
      <c r="F114" s="430"/>
      <c r="G114" s="427" t="s">
        <v>50</v>
      </c>
      <c r="H114" s="428"/>
      <c r="I114" s="426" t="e">
        <f>C9</f>
        <v>#N/A</v>
      </c>
      <c r="J114" s="263"/>
      <c r="K114" s="263"/>
      <c r="L114" s="263"/>
      <c r="M114" s="263"/>
      <c r="N114" s="263"/>
      <c r="O114" s="263"/>
      <c r="P114" s="263"/>
      <c r="Q114" s="263"/>
      <c r="R114" s="263"/>
      <c r="S114" s="263"/>
      <c r="T114" s="264"/>
    </row>
    <row r="115" spans="1:42" ht="13.5" customHeight="1" x14ac:dyDescent="0.25">
      <c r="B115" s="18" t="s">
        <v>6</v>
      </c>
      <c r="C115" s="263" t="e">
        <f>VLOOKUP($R$4,'DATA ZDROJ'!$B$3:$AG$23,25,0)</f>
        <v>#N/A</v>
      </c>
      <c r="D115" s="263"/>
      <c r="E115" s="263"/>
      <c r="F115" s="263"/>
      <c r="G115" s="263"/>
      <c r="H115" s="263"/>
      <c r="I115" s="263"/>
      <c r="J115" s="263"/>
      <c r="K115" s="263"/>
      <c r="L115" s="263"/>
      <c r="M115" s="263"/>
      <c r="N115" s="263"/>
      <c r="O115" s="263"/>
      <c r="P115" s="263"/>
      <c r="Q115" s="263"/>
      <c r="R115" s="263"/>
      <c r="S115" s="263"/>
      <c r="T115" s="264"/>
    </row>
    <row r="116" spans="1:42" ht="13.5" customHeight="1" x14ac:dyDescent="0.25">
      <c r="B116" s="18" t="s">
        <v>127</v>
      </c>
      <c r="C116" s="271" t="e">
        <f>VLOOKUP($R$4,'DATA ZDROJ'!$B$3:$AL$23,26,0)</f>
        <v>#N/A</v>
      </c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2"/>
    </row>
    <row r="117" spans="1:42" ht="13.5" customHeight="1" x14ac:dyDescent="0.25">
      <c r="B117" s="17" t="s">
        <v>8</v>
      </c>
      <c r="C117" s="263" t="e">
        <f>G14</f>
        <v>#N/A</v>
      </c>
      <c r="D117" s="263"/>
      <c r="E117" s="263"/>
      <c r="F117" s="263"/>
      <c r="G117" s="263"/>
      <c r="H117" s="263"/>
      <c r="I117" s="263"/>
      <c r="J117" s="263"/>
      <c r="K117" s="263"/>
      <c r="L117" s="263"/>
      <c r="M117" s="263"/>
      <c r="N117" s="263"/>
      <c r="O117" s="263"/>
      <c r="P117" s="263"/>
      <c r="Q117" s="263"/>
      <c r="R117" s="263"/>
      <c r="S117" s="263"/>
      <c r="T117" s="264"/>
    </row>
    <row r="118" spans="1:42" s="11" customFormat="1" ht="24" customHeight="1" x14ac:dyDescent="0.2">
      <c r="A118" s="10"/>
      <c r="B118" s="325" t="s">
        <v>3</v>
      </c>
      <c r="C118" s="327" t="s">
        <v>307</v>
      </c>
      <c r="D118" s="327"/>
      <c r="E118" s="327" t="s">
        <v>308</v>
      </c>
      <c r="F118" s="327"/>
      <c r="G118" s="327" t="s">
        <v>66</v>
      </c>
      <c r="H118" s="327"/>
      <c r="I118" s="327" t="s">
        <v>75</v>
      </c>
      <c r="J118" s="327"/>
      <c r="K118" s="327" t="s">
        <v>80</v>
      </c>
      <c r="L118" s="327"/>
      <c r="M118" s="327" t="s">
        <v>76</v>
      </c>
      <c r="N118" s="327"/>
      <c r="O118" s="326" t="s">
        <v>65</v>
      </c>
      <c r="P118" s="326"/>
      <c r="Q118" s="326" t="s">
        <v>78</v>
      </c>
      <c r="R118" s="326"/>
      <c r="S118" s="326" t="s">
        <v>83</v>
      </c>
      <c r="T118" s="326"/>
      <c r="U118" s="10"/>
      <c r="AP118" s="12"/>
    </row>
    <row r="119" spans="1:42" s="11" customFormat="1" ht="11.25" customHeight="1" x14ac:dyDescent="0.2">
      <c r="A119" s="10"/>
      <c r="B119" s="325"/>
      <c r="C119" s="265" t="s">
        <v>64</v>
      </c>
      <c r="D119" s="265"/>
      <c r="E119" s="265" t="s">
        <v>77</v>
      </c>
      <c r="F119" s="265"/>
      <c r="G119" s="265" t="s">
        <v>67</v>
      </c>
      <c r="H119" s="265"/>
      <c r="I119" s="265"/>
      <c r="J119" s="265"/>
      <c r="K119" s="265"/>
      <c r="L119" s="265"/>
      <c r="M119" s="265"/>
      <c r="N119" s="265"/>
      <c r="O119" s="265" t="s">
        <v>68</v>
      </c>
      <c r="P119" s="265"/>
      <c r="Q119" s="265" t="s">
        <v>79</v>
      </c>
      <c r="R119" s="265"/>
      <c r="S119" s="265" t="s">
        <v>84</v>
      </c>
      <c r="T119" s="265"/>
      <c r="U119" s="10"/>
      <c r="AP119" s="12"/>
    </row>
    <row r="120" spans="1:42" s="11" customFormat="1" ht="11.25" customHeight="1" x14ac:dyDescent="0.2">
      <c r="A120" s="10"/>
      <c r="B120" s="325"/>
      <c r="C120" s="322">
        <f>$S$7</f>
        <v>2025</v>
      </c>
      <c r="D120" s="322"/>
      <c r="E120" s="322">
        <f>$S$7</f>
        <v>2025</v>
      </c>
      <c r="F120" s="322"/>
      <c r="G120" s="322">
        <f>$S$7</f>
        <v>2025</v>
      </c>
      <c r="H120" s="322"/>
      <c r="I120" s="320">
        <f>IF($L$108=$C$120,$L$108-1,"chyba")</f>
        <v>2024</v>
      </c>
      <c r="J120" s="321"/>
      <c r="K120" s="320">
        <f>$S$7</f>
        <v>2025</v>
      </c>
      <c r="L120" s="321"/>
      <c r="M120" s="320">
        <f>IF($L$108=$C$120,$L$108-1,"chyba")</f>
        <v>2024</v>
      </c>
      <c r="N120" s="321"/>
      <c r="O120" s="322">
        <f>$S$7</f>
        <v>2025</v>
      </c>
      <c r="P120" s="322"/>
      <c r="Q120" s="322">
        <f>$S$7</f>
        <v>2025</v>
      </c>
      <c r="R120" s="322"/>
      <c r="S120" s="475">
        <f>IF($L$108=$C$120,$L$108,"chyba")</f>
        <v>2025</v>
      </c>
      <c r="T120" s="475"/>
      <c r="U120" s="10"/>
      <c r="AP120" s="12"/>
    </row>
    <row r="121" spans="1:42" ht="35.25" customHeight="1" x14ac:dyDescent="0.25">
      <c r="B121" s="19" t="s">
        <v>7</v>
      </c>
      <c r="C121" s="323" t="e">
        <f>IF(C$120=C$49,SUM(C50,C60),(IF(C$120=E$49,SUM(E50,E60),"chyba")))</f>
        <v>#N/A</v>
      </c>
      <c r="D121" s="323"/>
      <c r="E121" s="281">
        <f>IF(E120=C79,C80,(IF(E120=E79,E80,"chyba")))</f>
        <v>0</v>
      </c>
      <c r="F121" s="282"/>
      <c r="G121" s="324" t="e">
        <f>IF((C121-E121)&lt;0,CONCATENATE("chyba, přečerpáno o ",C121-E121,",- Kč"),C121-E121)</f>
        <v>#N/A</v>
      </c>
      <c r="H121" s="324"/>
      <c r="I121" s="323" t="e">
        <f>IF(I$120=I$49,SUM(I50,I60),(IF(I$120=K$49,SUM(K50,K60),"chyba")))</f>
        <v>#N/A</v>
      </c>
      <c r="J121" s="323"/>
      <c r="K121" s="323">
        <f>IF(K120=I79,I80,(IF(K120=K79,K80,"chyba")))</f>
        <v>0</v>
      </c>
      <c r="L121" s="323"/>
      <c r="M121" s="324" t="e">
        <f>IF((I121-K121)&lt;0,CONCATENATE("chyba, přečerpáno o ",I121-K121,",- Kč"),I121-K121)</f>
        <v>#N/A</v>
      </c>
      <c r="N121" s="324"/>
      <c r="O121" s="328" t="e">
        <f>SUM(C121,I121)</f>
        <v>#N/A</v>
      </c>
      <c r="P121" s="328"/>
      <c r="Q121" s="456">
        <f>SUM(E121,K121)</f>
        <v>0</v>
      </c>
      <c r="R121" s="456"/>
      <c r="S121" s="413" t="e">
        <f>IF((O121-Q121)&lt;0,CONCATENATE("chyba, přečerpáno o ",O121-Q121,",- Kč"),O121-Q121)</f>
        <v>#N/A</v>
      </c>
      <c r="T121" s="413"/>
    </row>
    <row r="122" spans="1:42" ht="30" customHeight="1" x14ac:dyDescent="0.25">
      <c r="B122" s="19" t="s">
        <v>13</v>
      </c>
      <c r="C122" s="281" t="e">
        <f t="shared" ref="C122:Q122" si="13">SUM(C123:C124)</f>
        <v>#N/A</v>
      </c>
      <c r="D122" s="282"/>
      <c r="E122" s="281">
        <f t="shared" si="13"/>
        <v>0</v>
      </c>
      <c r="F122" s="282"/>
      <c r="G122" s="324" t="e">
        <f t="shared" ref="G122:G123" si="14">IF((C122-E122)&lt;0,CONCATENATE("chyba, přečerpáno o ",C122-E122,",- Kč"),C122-E122)</f>
        <v>#N/A</v>
      </c>
      <c r="H122" s="324"/>
      <c r="I122" s="281" t="e">
        <f t="shared" si="13"/>
        <v>#N/A</v>
      </c>
      <c r="J122" s="282"/>
      <c r="K122" s="281">
        <f t="shared" si="13"/>
        <v>0</v>
      </c>
      <c r="L122" s="282"/>
      <c r="M122" s="324" t="e">
        <f t="shared" ref="M122:M124" si="15">IF((I122-K122)&lt;0,CONCATENATE("chyba, přečerpáno o ",I122-K122,",- Kč"),I122-K122)</f>
        <v>#N/A</v>
      </c>
      <c r="N122" s="324"/>
      <c r="O122" s="328" t="e">
        <f t="shared" si="13"/>
        <v>#N/A</v>
      </c>
      <c r="P122" s="328"/>
      <c r="Q122" s="456">
        <f t="shared" si="13"/>
        <v>0</v>
      </c>
      <c r="R122" s="456"/>
      <c r="S122" s="413" t="e">
        <f t="shared" ref="S122:S123" si="16">IF((O122-Q122)&lt;0,CONCATENATE("chyba, přečerpáno o ",O122-Q122,",- Kč"),O122-Q122)</f>
        <v>#N/A</v>
      </c>
      <c r="T122" s="413"/>
    </row>
    <row r="123" spans="1:42" ht="33" customHeight="1" x14ac:dyDescent="0.25">
      <c r="B123" s="20" t="s">
        <v>69</v>
      </c>
      <c r="C123" s="403" t="e">
        <f>IF(C$120=C$49,SUM(C53,C63),(IF(C$120=E$49,SUM(E53,E63),"chyba")))</f>
        <v>#N/A</v>
      </c>
      <c r="D123" s="403"/>
      <c r="E123" s="437">
        <f>IF(E120=C79,C83,(IF(E120=E79,E83,"chyba")))</f>
        <v>0</v>
      </c>
      <c r="F123" s="438"/>
      <c r="G123" s="424" t="e">
        <f t="shared" si="14"/>
        <v>#N/A</v>
      </c>
      <c r="H123" s="424"/>
      <c r="I123" s="403" t="e">
        <f>IF(I$120=I$49,SUM(I53,I63),(IF(I$120=K$49,SUM(K53,K63),"chyba")))</f>
        <v>#N/A</v>
      </c>
      <c r="J123" s="403"/>
      <c r="K123" s="403">
        <f>IF(K120=I79,I84,(IF(K120=K79,K83,"chyba")))</f>
        <v>0</v>
      </c>
      <c r="L123" s="403"/>
      <c r="M123" s="424" t="e">
        <f t="shared" si="15"/>
        <v>#N/A</v>
      </c>
      <c r="N123" s="424"/>
      <c r="O123" s="431" t="e">
        <f t="shared" ref="O123:O124" si="17">SUM(C123,I123)</f>
        <v>#N/A</v>
      </c>
      <c r="P123" s="431"/>
      <c r="Q123" s="457">
        <f t="shared" ref="Q123:Q124" si="18">SUM(E123,K123)</f>
        <v>0</v>
      </c>
      <c r="R123" s="457"/>
      <c r="S123" s="433" t="e">
        <f t="shared" si="16"/>
        <v>#N/A</v>
      </c>
      <c r="T123" s="433"/>
    </row>
    <row r="124" spans="1:42" ht="32.25" customHeight="1" x14ac:dyDescent="0.25">
      <c r="B124" s="20" t="s">
        <v>541</v>
      </c>
      <c r="C124" s="403" t="e">
        <f>IF(C$120=C$49,SUM(C54,C64),(IF(C$120=E$49,SUM(E54,E64),"chyba")))</f>
        <v>#N/A</v>
      </c>
      <c r="D124" s="403"/>
      <c r="E124" s="437">
        <f>IF(E120=C79,C84,(IF(E120=E79,E84,"chyba")))</f>
        <v>0</v>
      </c>
      <c r="F124" s="438"/>
      <c r="G124" s="424" t="e">
        <f>IF((C124-E124)&lt;0,CONCATENATE("chyba, přečerpáno o ",C124-E124,",- Kč"),C124-E124)</f>
        <v>#N/A</v>
      </c>
      <c r="H124" s="424"/>
      <c r="I124" s="403" t="e">
        <f>IF(I$120=I$49,SUM(I54,I64),(IF(I$120=K$49,SUM(K54,K64),"chyba")))</f>
        <v>#N/A</v>
      </c>
      <c r="J124" s="403"/>
      <c r="K124" s="403">
        <f>IF(K120=I79,#REF!,(IF(K120=K79,K83,"chyba")))</f>
        <v>0</v>
      </c>
      <c r="L124" s="403"/>
      <c r="M124" s="424" t="e">
        <f t="shared" si="15"/>
        <v>#N/A</v>
      </c>
      <c r="N124" s="424"/>
      <c r="O124" s="431" t="e">
        <f t="shared" si="17"/>
        <v>#N/A</v>
      </c>
      <c r="P124" s="431"/>
      <c r="Q124" s="457">
        <f t="shared" si="18"/>
        <v>0</v>
      </c>
      <c r="R124" s="457"/>
      <c r="S124" s="433" t="e">
        <f>IF((O124-Q124)&lt;0,CONCATENATE("chyba, přečerpáno o ",O124-Q124,",- Kč"),O124-Q124)</f>
        <v>#N/A</v>
      </c>
      <c r="T124" s="433"/>
    </row>
    <row r="125" spans="1:42" ht="21.75" customHeight="1" x14ac:dyDescent="0.25">
      <c r="B125" s="22" t="s">
        <v>2</v>
      </c>
      <c r="C125" s="425" t="e">
        <f>SUM(C122,C121)</f>
        <v>#N/A</v>
      </c>
      <c r="D125" s="425"/>
      <c r="E125" s="425">
        <f t="shared" ref="E125:Q125" si="19">SUM(E122,E121)</f>
        <v>0</v>
      </c>
      <c r="F125" s="425"/>
      <c r="G125" s="436" t="e">
        <f>IF((C125-E125)&lt;0,CONCATENATE("chyba, přečerpáno o ",C125-E125,",- Kč"),C125-E125)</f>
        <v>#N/A</v>
      </c>
      <c r="H125" s="436"/>
      <c r="I125" s="425" t="e">
        <f t="shared" si="19"/>
        <v>#N/A</v>
      </c>
      <c r="J125" s="425"/>
      <c r="K125" s="425">
        <f t="shared" si="19"/>
        <v>0</v>
      </c>
      <c r="L125" s="425"/>
      <c r="M125" s="425" t="e">
        <f t="shared" si="19"/>
        <v>#N/A</v>
      </c>
      <c r="N125" s="425"/>
      <c r="O125" s="432" t="e">
        <f t="shared" si="19"/>
        <v>#N/A</v>
      </c>
      <c r="P125" s="432"/>
      <c r="Q125" s="432">
        <f t="shared" si="19"/>
        <v>0</v>
      </c>
      <c r="R125" s="432"/>
      <c r="S125" s="436" t="e">
        <f>IF((O125-Q125)&lt;0,CONCATENATE("chyba, přečerpáno o ",O125-Q125,",- Kč"),O125-Q125)</f>
        <v>#N/A</v>
      </c>
      <c r="T125" s="436"/>
    </row>
    <row r="126" spans="1:42" ht="74.25" customHeight="1" x14ac:dyDescent="0.25">
      <c r="B126" s="23" t="s">
        <v>12</v>
      </c>
      <c r="C126" s="444"/>
      <c r="D126" s="444"/>
      <c r="E126" s="444"/>
      <c r="F126" s="444"/>
      <c r="G126" s="444"/>
      <c r="H126" s="444"/>
      <c r="I126" s="444"/>
      <c r="J126" s="444"/>
      <c r="K126" s="444"/>
      <c r="L126" s="444"/>
      <c r="M126" s="444"/>
      <c r="N126" s="444"/>
      <c r="O126" s="444"/>
      <c r="P126" s="444"/>
      <c r="Q126" s="444"/>
      <c r="R126" s="444"/>
      <c r="S126" s="444"/>
      <c r="T126" s="445"/>
    </row>
    <row r="127" spans="1:42" x14ac:dyDescent="0.25">
      <c r="B127" s="27"/>
      <c r="C127" s="28" t="s">
        <v>312</v>
      </c>
      <c r="D127" s="28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1:42" ht="21.75" customHeight="1" thickBot="1" x14ac:dyDescent="0.3">
      <c r="B128" s="252" t="s">
        <v>543</v>
      </c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30"/>
      <c r="Q128" s="26"/>
      <c r="R128" s="26"/>
      <c r="S128" s="455"/>
      <c r="T128" s="455"/>
    </row>
    <row r="129" spans="1:42" s="11" customFormat="1" ht="37.5" customHeight="1" thickTop="1" x14ac:dyDescent="0.2">
      <c r="A129" s="10"/>
      <c r="B129" s="54"/>
      <c r="C129" s="440" t="s">
        <v>330</v>
      </c>
      <c r="D129" s="441"/>
      <c r="E129" s="441"/>
      <c r="F129" s="441"/>
      <c r="G129" s="441"/>
      <c r="H129" s="441"/>
      <c r="I129" s="441"/>
      <c r="J129" s="441"/>
      <c r="K129" s="441"/>
      <c r="L129" s="441"/>
      <c r="M129" s="441"/>
      <c r="N129" s="441"/>
      <c r="O129" s="441"/>
      <c r="P129" s="441"/>
      <c r="Q129" s="441"/>
      <c r="R129" s="441"/>
      <c r="S129" s="441"/>
      <c r="T129" s="442"/>
      <c r="U129" s="10"/>
      <c r="AP129" s="12"/>
    </row>
    <row r="130" spans="1:42" ht="27" customHeight="1" x14ac:dyDescent="0.25">
      <c r="B130" s="40" t="s">
        <v>310</v>
      </c>
      <c r="C130" s="443"/>
      <c r="D130" s="443"/>
      <c r="E130" s="443"/>
      <c r="F130" s="443"/>
      <c r="G130" s="443"/>
      <c r="H130" s="443"/>
      <c r="I130" s="443"/>
      <c r="J130" s="443"/>
      <c r="K130" s="443"/>
      <c r="L130" s="443"/>
      <c r="M130" s="443"/>
      <c r="N130" s="443"/>
      <c r="O130" s="443"/>
      <c r="P130" s="443"/>
      <c r="Q130" s="443"/>
      <c r="R130" s="443"/>
      <c r="S130" s="443"/>
      <c r="T130" s="443"/>
    </row>
    <row r="131" spans="1:42" ht="13.5" customHeight="1" x14ac:dyDescent="0.25">
      <c r="B131" s="41" t="s">
        <v>16</v>
      </c>
      <c r="C131" s="434" t="s">
        <v>309</v>
      </c>
      <c r="D131" s="435"/>
      <c r="E131" s="414">
        <f>$S$7</f>
        <v>2025</v>
      </c>
      <c r="F131" s="414"/>
      <c r="G131" s="414"/>
      <c r="H131" s="439"/>
      <c r="I131" s="415" t="s">
        <v>81</v>
      </c>
      <c r="J131" s="416"/>
      <c r="K131" s="416"/>
      <c r="L131" s="416"/>
      <c r="M131" s="414">
        <f>E131-1</f>
        <v>2024</v>
      </c>
      <c r="N131" s="406"/>
      <c r="O131" s="404" t="s">
        <v>55</v>
      </c>
      <c r="P131" s="405"/>
      <c r="Q131" s="405"/>
      <c r="R131" s="405"/>
      <c r="S131" s="405"/>
      <c r="T131" s="406"/>
      <c r="V131" s="48"/>
      <c r="W131" s="48"/>
      <c r="X131" s="48"/>
    </row>
    <row r="132" spans="1:42" ht="24" customHeight="1" x14ac:dyDescent="0.25">
      <c r="B132" s="39" t="s">
        <v>7</v>
      </c>
      <c r="C132" s="259"/>
      <c r="D132" s="448"/>
      <c r="E132" s="448"/>
      <c r="F132" s="448"/>
      <c r="G132" s="448"/>
      <c r="H132" s="260"/>
      <c r="I132" s="259"/>
      <c r="J132" s="448"/>
      <c r="K132" s="448"/>
      <c r="L132" s="448"/>
      <c r="M132" s="448"/>
      <c r="N132" s="260"/>
      <c r="O132" s="452">
        <f>SUM(C132:N132)</f>
        <v>0</v>
      </c>
      <c r="P132" s="453"/>
      <c r="Q132" s="453"/>
      <c r="R132" s="453"/>
      <c r="S132" s="453"/>
      <c r="T132" s="454"/>
      <c r="V132" s="49"/>
      <c r="W132" s="49"/>
      <c r="X132" s="49"/>
    </row>
    <row r="133" spans="1:42" ht="24" customHeight="1" x14ac:dyDescent="0.25">
      <c r="B133" s="39" t="s">
        <v>13</v>
      </c>
      <c r="C133" s="452">
        <f>SUM(C134:G135)</f>
        <v>0</v>
      </c>
      <c r="D133" s="453"/>
      <c r="E133" s="453"/>
      <c r="F133" s="453"/>
      <c r="G133" s="453"/>
      <c r="H133" s="454"/>
      <c r="I133" s="452">
        <f>SUM(I134:M135)</f>
        <v>0</v>
      </c>
      <c r="J133" s="453"/>
      <c r="K133" s="453"/>
      <c r="L133" s="453"/>
      <c r="M133" s="453"/>
      <c r="N133" s="454"/>
      <c r="O133" s="452">
        <f>SUM(O134:S135)</f>
        <v>0</v>
      </c>
      <c r="P133" s="453"/>
      <c r="Q133" s="453"/>
      <c r="R133" s="453"/>
      <c r="S133" s="453"/>
      <c r="T133" s="454"/>
      <c r="V133" s="49"/>
      <c r="W133" s="49"/>
      <c r="X133" s="49"/>
    </row>
    <row r="134" spans="1:42" ht="24" customHeight="1" x14ac:dyDescent="0.25">
      <c r="B134" s="42" t="s">
        <v>15</v>
      </c>
      <c r="C134" s="259"/>
      <c r="D134" s="448"/>
      <c r="E134" s="448"/>
      <c r="F134" s="448"/>
      <c r="G134" s="448"/>
      <c r="H134" s="260"/>
      <c r="I134" s="259"/>
      <c r="J134" s="448"/>
      <c r="K134" s="448"/>
      <c r="L134" s="448"/>
      <c r="M134" s="448"/>
      <c r="N134" s="260"/>
      <c r="O134" s="452">
        <f>SUM(C134:N134)</f>
        <v>0</v>
      </c>
      <c r="P134" s="453"/>
      <c r="Q134" s="453"/>
      <c r="R134" s="453"/>
      <c r="S134" s="453"/>
      <c r="T134" s="454"/>
      <c r="V134" s="49"/>
      <c r="W134" s="49"/>
      <c r="X134" s="49"/>
    </row>
    <row r="135" spans="1:42" ht="24" customHeight="1" x14ac:dyDescent="0.25">
      <c r="B135" s="42" t="s">
        <v>542</v>
      </c>
      <c r="C135" s="259"/>
      <c r="D135" s="448"/>
      <c r="E135" s="448"/>
      <c r="F135" s="448"/>
      <c r="G135" s="448"/>
      <c r="H135" s="260"/>
      <c r="I135" s="259"/>
      <c r="J135" s="448"/>
      <c r="K135" s="448"/>
      <c r="L135" s="448"/>
      <c r="M135" s="448"/>
      <c r="N135" s="260"/>
      <c r="O135" s="452">
        <f>SUM(C135:N135)</f>
        <v>0</v>
      </c>
      <c r="P135" s="453"/>
      <c r="Q135" s="453"/>
      <c r="R135" s="453"/>
      <c r="S135" s="453"/>
      <c r="T135" s="454"/>
      <c r="V135" s="49"/>
      <c r="W135" s="49"/>
      <c r="X135" s="49"/>
    </row>
    <row r="136" spans="1:42" ht="24" customHeight="1" x14ac:dyDescent="0.25">
      <c r="B136" s="44" t="s">
        <v>2</v>
      </c>
      <c r="C136" s="449">
        <f>SUM(C132,C133)</f>
        <v>0</v>
      </c>
      <c r="D136" s="450"/>
      <c r="E136" s="450"/>
      <c r="F136" s="450"/>
      <c r="G136" s="450"/>
      <c r="H136" s="451"/>
      <c r="I136" s="449">
        <f>SUM(I132,I133)</f>
        <v>0</v>
      </c>
      <c r="J136" s="450"/>
      <c r="K136" s="450"/>
      <c r="L136" s="450"/>
      <c r="M136" s="450"/>
      <c r="N136" s="451"/>
      <c r="O136" s="449">
        <f>SUM(O132,O133)</f>
        <v>0</v>
      </c>
      <c r="P136" s="450"/>
      <c r="Q136" s="450"/>
      <c r="R136" s="450"/>
      <c r="S136" s="450"/>
      <c r="T136" s="451"/>
      <c r="V136" s="49"/>
      <c r="W136" s="49"/>
      <c r="X136" s="49"/>
    </row>
    <row r="137" spans="1:42" ht="74.25" customHeight="1" x14ac:dyDescent="0.25">
      <c r="B137" s="45" t="s">
        <v>17</v>
      </c>
      <c r="C137" s="444"/>
      <c r="D137" s="444"/>
      <c r="E137" s="444"/>
      <c r="F137" s="444"/>
      <c r="G137" s="444"/>
      <c r="H137" s="444"/>
      <c r="I137" s="444"/>
      <c r="J137" s="444"/>
      <c r="K137" s="444"/>
      <c r="L137" s="444"/>
      <c r="M137" s="444"/>
      <c r="N137" s="444"/>
      <c r="O137" s="444"/>
      <c r="P137" s="444"/>
      <c r="Q137" s="444"/>
      <c r="R137" s="444"/>
      <c r="S137" s="444"/>
      <c r="T137" s="444"/>
      <c r="V137" s="48"/>
      <c r="W137" s="48"/>
      <c r="X137" s="48"/>
    </row>
    <row r="138" spans="1:42" s="46" customFormat="1" ht="27" customHeight="1" x14ac:dyDescent="0.2">
      <c r="A138" s="5"/>
      <c r="B138" s="446" t="s">
        <v>311</v>
      </c>
      <c r="C138" s="447"/>
      <c r="D138" s="447"/>
      <c r="E138" s="447"/>
      <c r="F138" s="447"/>
      <c r="G138" s="447"/>
      <c r="H138" s="447"/>
      <c r="I138" s="447"/>
      <c r="J138" s="447"/>
      <c r="K138" s="447"/>
      <c r="L138" s="447"/>
      <c r="M138" s="447"/>
      <c r="N138" s="447"/>
      <c r="O138" s="447"/>
      <c r="P138" s="447"/>
      <c r="Q138" s="447"/>
      <c r="R138" s="447"/>
      <c r="S138" s="447"/>
      <c r="T138" s="447"/>
      <c r="U138" s="5"/>
      <c r="AP138" s="47"/>
    </row>
    <row r="139" spans="1:42" ht="15.75" thickBot="1" x14ac:dyDescent="0.3">
      <c r="B139" s="459" t="s">
        <v>52</v>
      </c>
      <c r="C139" s="460"/>
      <c r="D139" s="460"/>
      <c r="E139" s="460"/>
      <c r="F139" s="460"/>
      <c r="G139" s="460"/>
      <c r="H139" s="460"/>
      <c r="I139" s="460"/>
      <c r="J139" s="460"/>
      <c r="K139" s="460"/>
      <c r="L139" s="460"/>
      <c r="M139" s="460"/>
      <c r="N139" s="460"/>
      <c r="O139" s="460"/>
      <c r="P139" s="460"/>
      <c r="Q139" s="460"/>
      <c r="R139" s="460"/>
      <c r="S139" s="460"/>
      <c r="T139" s="461"/>
    </row>
    <row r="140" spans="1:42" ht="13.5" customHeight="1" thickTop="1" x14ac:dyDescent="0.25">
      <c r="B140" s="32"/>
      <c r="C140" s="286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8"/>
    </row>
    <row r="141" spans="1:42" ht="18.75" x14ac:dyDescent="0.25">
      <c r="B141" s="24">
        <v>1</v>
      </c>
      <c r="C141" s="279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  <c r="O141" s="279"/>
      <c r="P141" s="279"/>
      <c r="Q141" s="279"/>
      <c r="R141" s="279"/>
      <c r="S141" s="279"/>
      <c r="T141" s="280"/>
    </row>
    <row r="142" spans="1:42" ht="18.75" x14ac:dyDescent="0.25">
      <c r="B142" s="24">
        <v>2</v>
      </c>
      <c r="C142" s="279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  <c r="O142" s="279"/>
      <c r="P142" s="279"/>
      <c r="Q142" s="279"/>
      <c r="R142" s="279"/>
      <c r="S142" s="279"/>
      <c r="T142" s="280"/>
    </row>
    <row r="143" spans="1:42" x14ac:dyDescent="0.25">
      <c r="B143" s="5"/>
      <c r="C143" s="458"/>
      <c r="D143" s="458"/>
      <c r="E143" s="458"/>
      <c r="F143" s="458"/>
      <c r="G143" s="458"/>
      <c r="H143" s="458"/>
      <c r="I143" s="458"/>
      <c r="J143" s="458"/>
      <c r="K143" s="458"/>
      <c r="L143" s="458"/>
      <c r="M143" s="458"/>
      <c r="N143" s="458"/>
      <c r="O143" s="458"/>
      <c r="P143" s="458"/>
      <c r="Q143" s="458"/>
      <c r="R143" s="458"/>
      <c r="S143" s="458"/>
      <c r="T143" s="458"/>
    </row>
    <row r="144" spans="1:42" x14ac:dyDescent="0.25">
      <c r="B144" s="398" t="s">
        <v>342</v>
      </c>
      <c r="C144" s="399"/>
      <c r="D144" s="399"/>
      <c r="E144" s="399"/>
      <c r="F144" s="399"/>
      <c r="G144" s="399"/>
      <c r="H144" s="462" t="s">
        <v>11</v>
      </c>
      <c r="I144" s="462"/>
      <c r="J144" s="462"/>
      <c r="K144" s="462"/>
      <c r="L144" s="462"/>
      <c r="M144" s="464" t="s">
        <v>10</v>
      </c>
      <c r="N144" s="465"/>
      <c r="O144" s="465"/>
      <c r="P144" s="465"/>
      <c r="Q144" s="465"/>
      <c r="R144" s="465"/>
      <c r="S144" s="465"/>
      <c r="T144" s="465"/>
    </row>
    <row r="145" spans="2:20" ht="34.5" customHeight="1" x14ac:dyDescent="0.25">
      <c r="B145" s="396" t="e">
        <f>VLOOKUP($R$4,'DATA ZDROJ'!$B$3:$AG$23,27,0)</f>
        <v>#N/A</v>
      </c>
      <c r="C145" s="396"/>
      <c r="D145" s="396"/>
      <c r="E145" s="396"/>
      <c r="F145" s="396"/>
      <c r="G145" s="397"/>
      <c r="H145" s="463"/>
      <c r="I145" s="463"/>
      <c r="J145" s="463"/>
      <c r="K145" s="463"/>
      <c r="L145" s="463"/>
      <c r="M145" s="466"/>
      <c r="N145" s="467"/>
      <c r="O145" s="467"/>
      <c r="P145" s="467"/>
      <c r="Q145" s="467"/>
      <c r="R145" s="467"/>
      <c r="S145" s="467"/>
      <c r="T145" s="467"/>
    </row>
    <row r="146" spans="2:20" x14ac:dyDescent="0.25">
      <c r="B146" s="398" t="s">
        <v>9</v>
      </c>
      <c r="C146" s="399"/>
      <c r="D146" s="399"/>
      <c r="E146" s="399"/>
      <c r="F146" s="399"/>
      <c r="G146" s="399"/>
      <c r="H146" s="462" t="s">
        <v>11</v>
      </c>
      <c r="I146" s="462"/>
      <c r="J146" s="462"/>
      <c r="K146" s="462"/>
      <c r="L146" s="462"/>
      <c r="M146" s="464" t="s">
        <v>10</v>
      </c>
      <c r="N146" s="465"/>
      <c r="O146" s="465"/>
      <c r="P146" s="465"/>
      <c r="Q146" s="465"/>
      <c r="R146" s="465"/>
      <c r="S146" s="465"/>
      <c r="T146" s="465"/>
    </row>
    <row r="147" spans="2:20" ht="34.5" customHeight="1" x14ac:dyDescent="0.25">
      <c r="B147" s="470"/>
      <c r="C147" s="471"/>
      <c r="D147" s="471"/>
      <c r="E147" s="471"/>
      <c r="F147" s="471"/>
      <c r="G147" s="471"/>
      <c r="H147" s="463"/>
      <c r="I147" s="463"/>
      <c r="J147" s="463"/>
      <c r="K147" s="463"/>
      <c r="L147" s="463"/>
      <c r="M147" s="468"/>
      <c r="N147" s="469"/>
      <c r="O147" s="469"/>
      <c r="P147" s="469"/>
      <c r="Q147" s="469"/>
      <c r="R147" s="469"/>
      <c r="S147" s="469"/>
      <c r="T147" s="469"/>
    </row>
    <row r="148" spans="2:20" x14ac:dyDescent="0.25">
      <c r="B148" s="400" t="s">
        <v>545</v>
      </c>
      <c r="C148" s="400"/>
      <c r="D148" s="400"/>
      <c r="E148" s="400"/>
      <c r="F148" s="400"/>
      <c r="G148" s="400"/>
      <c r="H148" s="36"/>
      <c r="I148" s="401"/>
      <c r="J148" s="401"/>
      <c r="K148" s="401"/>
      <c r="L148" s="37"/>
      <c r="M148" s="401"/>
      <c r="N148" s="401"/>
      <c r="O148" s="401"/>
      <c r="P148" s="401"/>
      <c r="Q148" s="401"/>
      <c r="R148" s="401"/>
      <c r="S148" s="401"/>
      <c r="T148" s="13"/>
    </row>
    <row r="149" spans="2:20" ht="13.5" customHeight="1" x14ac:dyDescent="0.25">
      <c r="B149" s="50"/>
      <c r="C149" s="50"/>
      <c r="D149" s="50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"/>
      <c r="R149" s="5"/>
      <c r="S149" s="5"/>
      <c r="T149" s="5"/>
    </row>
    <row r="150" spans="2:20" x14ac:dyDescent="0.25">
      <c r="B150" s="395"/>
      <c r="C150" s="395"/>
      <c r="D150" s="395"/>
      <c r="E150" s="395"/>
      <c r="F150" s="395"/>
      <c r="G150" s="395"/>
      <c r="H150" s="395"/>
      <c r="I150" s="395"/>
      <c r="J150" s="395"/>
      <c r="K150" s="395"/>
      <c r="L150" s="395"/>
      <c r="M150" s="395"/>
      <c r="N150" s="395"/>
      <c r="O150" s="395"/>
      <c r="P150" s="395"/>
      <c r="Q150" s="395"/>
      <c r="R150" s="395"/>
      <c r="S150" s="395"/>
      <c r="T150" s="38"/>
    </row>
    <row r="151" spans="2:20" ht="15" customHeight="1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5" customHeight="1" x14ac:dyDescent="0.25"/>
    <row r="153" spans="2:20" ht="15" customHeight="1" x14ac:dyDescent="0.25"/>
    <row r="154" spans="2:20" ht="15" customHeight="1" x14ac:dyDescent="0.25"/>
    <row r="155" spans="2:20" ht="15" customHeight="1" x14ac:dyDescent="0.25"/>
    <row r="156" spans="2:20" ht="15" customHeight="1" x14ac:dyDescent="0.25"/>
    <row r="157" spans="2:20" ht="15" customHeight="1" x14ac:dyDescent="0.25"/>
    <row r="158" spans="2:20" ht="15" customHeight="1" x14ac:dyDescent="0.25"/>
    <row r="159" spans="2:20" ht="15" customHeight="1" x14ac:dyDescent="0.25"/>
    <row r="160" spans="2:2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</sheetData>
  <sheetProtection algorithmName="SHA-512" hashValue="lOkYrplAhIJ4OYnyB1tHgVB4j4X6n47VnPX0JNPxwCOeb/M/XOduf9vvkoRhZ1X8MBY/fGGDW+tYpZPdI6QQ1w==" saltValue="4eu6Olb41HcpVoKvUvPLZQ==" spinCount="100000" sheet="1" selectLockedCells="1"/>
  <mergeCells count="532">
    <mergeCell ref="D42:J42"/>
    <mergeCell ref="E84:F84"/>
    <mergeCell ref="O78:T80"/>
    <mergeCell ref="C94:D94"/>
    <mergeCell ref="E94:F94"/>
    <mergeCell ref="G94:H94"/>
    <mergeCell ref="B98:J98"/>
    <mergeCell ref="B99:J99"/>
    <mergeCell ref="B101:J101"/>
    <mergeCell ref="M101:T101"/>
    <mergeCell ref="L98:T98"/>
    <mergeCell ref="L99:T99"/>
    <mergeCell ref="B100:J100"/>
    <mergeCell ref="L100:T100"/>
    <mergeCell ref="C95:D95"/>
    <mergeCell ref="E95:F95"/>
    <mergeCell ref="G95:H95"/>
    <mergeCell ref="I95:J95"/>
    <mergeCell ref="K95:L95"/>
    <mergeCell ref="M95:N95"/>
    <mergeCell ref="O95:P95"/>
    <mergeCell ref="Q95:R95"/>
    <mergeCell ref="S95:T95"/>
    <mergeCell ref="C93:D93"/>
    <mergeCell ref="E93:F93"/>
    <mergeCell ref="G93:H93"/>
    <mergeCell ref="I93:J93"/>
    <mergeCell ref="K93:L93"/>
    <mergeCell ref="M93:N93"/>
    <mergeCell ref="O93:P93"/>
    <mergeCell ref="Q93:R93"/>
    <mergeCell ref="S93:T93"/>
    <mergeCell ref="M92:N92"/>
    <mergeCell ref="O92:P92"/>
    <mergeCell ref="Q92:R92"/>
    <mergeCell ref="S92:T92"/>
    <mergeCell ref="I94:J94"/>
    <mergeCell ref="K94:L94"/>
    <mergeCell ref="M94:N94"/>
    <mergeCell ref="O94:P94"/>
    <mergeCell ref="Q94:R94"/>
    <mergeCell ref="S94:T94"/>
    <mergeCell ref="I78:N78"/>
    <mergeCell ref="C78:H78"/>
    <mergeCell ref="C75:D75"/>
    <mergeCell ref="E75:F75"/>
    <mergeCell ref="G75:H75"/>
    <mergeCell ref="I75:J75"/>
    <mergeCell ref="K75:L75"/>
    <mergeCell ref="M75:N75"/>
    <mergeCell ref="M81:N81"/>
    <mergeCell ref="E79:F79"/>
    <mergeCell ref="C90:D90"/>
    <mergeCell ref="E90:F90"/>
    <mergeCell ref="G90:H90"/>
    <mergeCell ref="I90:J90"/>
    <mergeCell ref="K90:L90"/>
    <mergeCell ref="M90:N90"/>
    <mergeCell ref="O90:P90"/>
    <mergeCell ref="Q90:R90"/>
    <mergeCell ref="O63:P63"/>
    <mergeCell ref="Q73:R73"/>
    <mergeCell ref="S73:T73"/>
    <mergeCell ref="C73:D73"/>
    <mergeCell ref="E73:F73"/>
    <mergeCell ref="G73:H73"/>
    <mergeCell ref="I73:J73"/>
    <mergeCell ref="K73:L73"/>
    <mergeCell ref="M73:N73"/>
    <mergeCell ref="C72:D72"/>
    <mergeCell ref="E72:F72"/>
    <mergeCell ref="O72:P72"/>
    <mergeCell ref="Q72:R72"/>
    <mergeCell ref="S72:T72"/>
    <mergeCell ref="O68:T71"/>
    <mergeCell ref="K70:L70"/>
    <mergeCell ref="M70:N70"/>
    <mergeCell ref="B58:B59"/>
    <mergeCell ref="M71:N71"/>
    <mergeCell ref="O73:P73"/>
    <mergeCell ref="Q64:R64"/>
    <mergeCell ref="B57:L57"/>
    <mergeCell ref="M57:T57"/>
    <mergeCell ref="C65:D65"/>
    <mergeCell ref="E65:F65"/>
    <mergeCell ref="G65:H65"/>
    <mergeCell ref="I65:J65"/>
    <mergeCell ref="K65:L65"/>
    <mergeCell ref="S64:T64"/>
    <mergeCell ref="C63:D63"/>
    <mergeCell ref="M65:N65"/>
    <mergeCell ref="O65:P65"/>
    <mergeCell ref="Q65:R65"/>
    <mergeCell ref="S65:T65"/>
    <mergeCell ref="C64:D64"/>
    <mergeCell ref="S63:T63"/>
    <mergeCell ref="C62:D62"/>
    <mergeCell ref="E62:F62"/>
    <mergeCell ref="G62:H62"/>
    <mergeCell ref="I62:J62"/>
    <mergeCell ref="K62:L62"/>
    <mergeCell ref="Q82:R82"/>
    <mergeCell ref="O82:P82"/>
    <mergeCell ref="S82:T82"/>
    <mergeCell ref="G51:H51"/>
    <mergeCell ref="I52:J52"/>
    <mergeCell ref="G52:H52"/>
    <mergeCell ref="G53:H53"/>
    <mergeCell ref="E53:F53"/>
    <mergeCell ref="I51:J51"/>
    <mergeCell ref="I55:J55"/>
    <mergeCell ref="Q63:R63"/>
    <mergeCell ref="O58:T62"/>
    <mergeCell ref="S81:T81"/>
    <mergeCell ref="B67:T67"/>
    <mergeCell ref="B68:B69"/>
    <mergeCell ref="C68:H68"/>
    <mergeCell ref="I68:N68"/>
    <mergeCell ref="C69:D69"/>
    <mergeCell ref="E69:F69"/>
    <mergeCell ref="G69:H69"/>
    <mergeCell ref="C79:D79"/>
    <mergeCell ref="G79:H79"/>
    <mergeCell ref="I79:J79"/>
    <mergeCell ref="I69:J69"/>
    <mergeCell ref="Q75:R75"/>
    <mergeCell ref="S75:T75"/>
    <mergeCell ref="K74:L74"/>
    <mergeCell ref="M74:N74"/>
    <mergeCell ref="O74:P74"/>
    <mergeCell ref="Q74:R74"/>
    <mergeCell ref="S74:T74"/>
    <mergeCell ref="K69:L69"/>
    <mergeCell ref="M69:N69"/>
    <mergeCell ref="Q124:R124"/>
    <mergeCell ref="Q118:R118"/>
    <mergeCell ref="S118:T118"/>
    <mergeCell ref="S90:T90"/>
    <mergeCell ref="C74:D74"/>
    <mergeCell ref="E74:F74"/>
    <mergeCell ref="G74:H74"/>
    <mergeCell ref="I74:J74"/>
    <mergeCell ref="E82:F82"/>
    <mergeCell ref="G82:H82"/>
    <mergeCell ref="I82:J82"/>
    <mergeCell ref="B87:T87"/>
    <mergeCell ref="B88:B89"/>
    <mergeCell ref="C88:H88"/>
    <mergeCell ref="I88:N88"/>
    <mergeCell ref="O88:T88"/>
    <mergeCell ref="C89:D89"/>
    <mergeCell ref="E89:F89"/>
    <mergeCell ref="S120:T120"/>
    <mergeCell ref="E120:F120"/>
    <mergeCell ref="M79:N79"/>
    <mergeCell ref="S85:T85"/>
    <mergeCell ref="K81:L81"/>
    <mergeCell ref="O75:P75"/>
    <mergeCell ref="I81:J81"/>
    <mergeCell ref="C80:D80"/>
    <mergeCell ref="E80:F80"/>
    <mergeCell ref="I64:J64"/>
    <mergeCell ref="G72:H72"/>
    <mergeCell ref="I72:J72"/>
    <mergeCell ref="M61:N61"/>
    <mergeCell ref="K64:L64"/>
    <mergeCell ref="C71:D71"/>
    <mergeCell ref="E71:F71"/>
    <mergeCell ref="G71:H71"/>
    <mergeCell ref="I71:J71"/>
    <mergeCell ref="K71:L71"/>
    <mergeCell ref="K63:L63"/>
    <mergeCell ref="M63:N63"/>
    <mergeCell ref="K72:L72"/>
    <mergeCell ref="M72:N72"/>
    <mergeCell ref="C70:D70"/>
    <mergeCell ref="E70:F70"/>
    <mergeCell ref="G70:H70"/>
    <mergeCell ref="I70:J70"/>
    <mergeCell ref="M62:N62"/>
    <mergeCell ref="E64:F64"/>
    <mergeCell ref="G64:H64"/>
    <mergeCell ref="C143:T143"/>
    <mergeCell ref="B139:T139"/>
    <mergeCell ref="H144:L144"/>
    <mergeCell ref="H145:L145"/>
    <mergeCell ref="H146:L146"/>
    <mergeCell ref="H147:L147"/>
    <mergeCell ref="M144:T144"/>
    <mergeCell ref="M145:T145"/>
    <mergeCell ref="M146:T146"/>
    <mergeCell ref="M147:T147"/>
    <mergeCell ref="C141:T141"/>
    <mergeCell ref="C142:T142"/>
    <mergeCell ref="B147:G147"/>
    <mergeCell ref="C140:T140"/>
    <mergeCell ref="C126:T126"/>
    <mergeCell ref="C113:T113"/>
    <mergeCell ref="B138:T138"/>
    <mergeCell ref="C132:H132"/>
    <mergeCell ref="I136:N136"/>
    <mergeCell ref="C133:H133"/>
    <mergeCell ref="C134:H134"/>
    <mergeCell ref="C135:H135"/>
    <mergeCell ref="C136:H136"/>
    <mergeCell ref="I132:N132"/>
    <mergeCell ref="I133:N133"/>
    <mergeCell ref="C137:T137"/>
    <mergeCell ref="O132:T132"/>
    <mergeCell ref="O133:T133"/>
    <mergeCell ref="O134:T134"/>
    <mergeCell ref="O135:T135"/>
    <mergeCell ref="O136:T136"/>
    <mergeCell ref="I135:N135"/>
    <mergeCell ref="I134:N134"/>
    <mergeCell ref="S128:T128"/>
    <mergeCell ref="Q121:R121"/>
    <mergeCell ref="Q122:R122"/>
    <mergeCell ref="O122:P122"/>
    <mergeCell ref="Q123:R123"/>
    <mergeCell ref="O120:P120"/>
    <mergeCell ref="S119:T119"/>
    <mergeCell ref="I84:J84"/>
    <mergeCell ref="C131:D131"/>
    <mergeCell ref="G123:H123"/>
    <mergeCell ref="G124:H124"/>
    <mergeCell ref="G125:H125"/>
    <mergeCell ref="E121:F121"/>
    <mergeCell ref="E122:F122"/>
    <mergeCell ref="E123:F123"/>
    <mergeCell ref="E124:F124"/>
    <mergeCell ref="E125:F125"/>
    <mergeCell ref="C125:D125"/>
    <mergeCell ref="C122:D122"/>
    <mergeCell ref="C121:D121"/>
    <mergeCell ref="C123:D123"/>
    <mergeCell ref="C124:D124"/>
    <mergeCell ref="E131:H131"/>
    <mergeCell ref="C129:T129"/>
    <mergeCell ref="C130:T130"/>
    <mergeCell ref="I125:J125"/>
    <mergeCell ref="S125:T125"/>
    <mergeCell ref="M123:N123"/>
    <mergeCell ref="Q125:R125"/>
    <mergeCell ref="M124:N124"/>
    <mergeCell ref="M125:N125"/>
    <mergeCell ref="I124:J124"/>
    <mergeCell ref="C112:T112"/>
    <mergeCell ref="I114:T114"/>
    <mergeCell ref="G114:H114"/>
    <mergeCell ref="E114:F114"/>
    <mergeCell ref="C114:D114"/>
    <mergeCell ref="G120:H120"/>
    <mergeCell ref="O123:P123"/>
    <mergeCell ref="O124:P124"/>
    <mergeCell ref="O125:P125"/>
    <mergeCell ref="C115:T115"/>
    <mergeCell ref="C117:T117"/>
    <mergeCell ref="S123:T123"/>
    <mergeCell ref="S124:T124"/>
    <mergeCell ref="K123:L123"/>
    <mergeCell ref="K124:L124"/>
    <mergeCell ref="K125:L125"/>
    <mergeCell ref="S122:T122"/>
    <mergeCell ref="I118:J118"/>
    <mergeCell ref="K118:L118"/>
    <mergeCell ref="K121:L121"/>
    <mergeCell ref="K122:L122"/>
    <mergeCell ref="Q84:R84"/>
    <mergeCell ref="S84:T84"/>
    <mergeCell ref="C55:D55"/>
    <mergeCell ref="E55:F55"/>
    <mergeCell ref="G84:H84"/>
    <mergeCell ref="C60:D60"/>
    <mergeCell ref="E60:F60"/>
    <mergeCell ref="G60:H60"/>
    <mergeCell ref="C61:D61"/>
    <mergeCell ref="E61:F61"/>
    <mergeCell ref="G61:H61"/>
    <mergeCell ref="I61:J61"/>
    <mergeCell ref="K61:L61"/>
    <mergeCell ref="C58:H58"/>
    <mergeCell ref="I58:N58"/>
    <mergeCell ref="C59:D59"/>
    <mergeCell ref="E59:F59"/>
    <mergeCell ref="G59:H59"/>
    <mergeCell ref="I59:J59"/>
    <mergeCell ref="K59:L59"/>
    <mergeCell ref="M59:N59"/>
    <mergeCell ref="C81:D81"/>
    <mergeCell ref="E81:F81"/>
    <mergeCell ref="G81:H81"/>
    <mergeCell ref="I50:J50"/>
    <mergeCell ref="K43:L43"/>
    <mergeCell ref="G55:H55"/>
    <mergeCell ref="C54:D54"/>
    <mergeCell ref="E52:F52"/>
    <mergeCell ref="K52:L52"/>
    <mergeCell ref="E54:F54"/>
    <mergeCell ref="I53:J53"/>
    <mergeCell ref="I54:J54"/>
    <mergeCell ref="G54:H54"/>
    <mergeCell ref="G49:H49"/>
    <mergeCell ref="I49:J49"/>
    <mergeCell ref="C51:D51"/>
    <mergeCell ref="C52:D52"/>
    <mergeCell ref="C53:D53"/>
    <mergeCell ref="C50:D50"/>
    <mergeCell ref="E50:F50"/>
    <mergeCell ref="G50:H50"/>
    <mergeCell ref="E51:F51"/>
    <mergeCell ref="C49:D49"/>
    <mergeCell ref="E49:F49"/>
    <mergeCell ref="B46:T46"/>
    <mergeCell ref="B47:T47"/>
    <mergeCell ref="B48:B49"/>
    <mergeCell ref="M148:S148"/>
    <mergeCell ref="I60:J60"/>
    <mergeCell ref="K60:L60"/>
    <mergeCell ref="M60:N60"/>
    <mergeCell ref="E63:F63"/>
    <mergeCell ref="G63:H63"/>
    <mergeCell ref="I63:J63"/>
    <mergeCell ref="G80:H80"/>
    <mergeCell ref="I80:J80"/>
    <mergeCell ref="K79:L79"/>
    <mergeCell ref="B77:T77"/>
    <mergeCell ref="B78:B79"/>
    <mergeCell ref="C83:D83"/>
    <mergeCell ref="G83:H83"/>
    <mergeCell ref="S121:T121"/>
    <mergeCell ref="M64:N64"/>
    <mergeCell ref="O64:P64"/>
    <mergeCell ref="M131:N131"/>
    <mergeCell ref="I131:L131"/>
    <mergeCell ref="M80:N80"/>
    <mergeCell ref="M84:N84"/>
    <mergeCell ref="O84:P84"/>
    <mergeCell ref="E83:F83"/>
    <mergeCell ref="K82:L82"/>
    <mergeCell ref="D44:J44"/>
    <mergeCell ref="M82:N82"/>
    <mergeCell ref="O81:P81"/>
    <mergeCell ref="Q81:R81"/>
    <mergeCell ref="B150:S150"/>
    <mergeCell ref="B145:G145"/>
    <mergeCell ref="B146:G146"/>
    <mergeCell ref="B144:G144"/>
    <mergeCell ref="B148:G148"/>
    <mergeCell ref="I148:K148"/>
    <mergeCell ref="M85:N85"/>
    <mergeCell ref="B108:K108"/>
    <mergeCell ref="C82:D82"/>
    <mergeCell ref="C84:D84"/>
    <mergeCell ref="K83:L83"/>
    <mergeCell ref="M83:N83"/>
    <mergeCell ref="O83:P83"/>
    <mergeCell ref="Q83:R83"/>
    <mergeCell ref="S83:T83"/>
    <mergeCell ref="I123:J123"/>
    <mergeCell ref="M121:N121"/>
    <mergeCell ref="O131:T131"/>
    <mergeCell ref="Q85:R85"/>
    <mergeCell ref="C91:D91"/>
    <mergeCell ref="D32:H32"/>
    <mergeCell ref="S53:T53"/>
    <mergeCell ref="S54:T54"/>
    <mergeCell ref="S55:T55"/>
    <mergeCell ref="K50:L50"/>
    <mergeCell ref="B38:B44"/>
    <mergeCell ref="C28:T28"/>
    <mergeCell ref="D39:J39"/>
    <mergeCell ref="D40:J40"/>
    <mergeCell ref="K39:L39"/>
    <mergeCell ref="K40:L40"/>
    <mergeCell ref="K41:L41"/>
    <mergeCell ref="O35:T35"/>
    <mergeCell ref="M37:N37"/>
    <mergeCell ref="K44:L44"/>
    <mergeCell ref="M44:T44"/>
    <mergeCell ref="M35:N35"/>
    <mergeCell ref="D36:H36"/>
    <mergeCell ref="O36:T36"/>
    <mergeCell ref="M40:T40"/>
    <mergeCell ref="M41:T41"/>
    <mergeCell ref="K42:L42"/>
    <mergeCell ref="D33:H33"/>
    <mergeCell ref="K53:L53"/>
    <mergeCell ref="K49:L49"/>
    <mergeCell ref="K80:L80"/>
    <mergeCell ref="M49:N49"/>
    <mergeCell ref="P4:Q4"/>
    <mergeCell ref="J4:O4"/>
    <mergeCell ref="C9:T9"/>
    <mergeCell ref="B8:T8"/>
    <mergeCell ref="G5:T5"/>
    <mergeCell ref="S4:T4"/>
    <mergeCell ref="E5:F5"/>
    <mergeCell ref="B12:F12"/>
    <mergeCell ref="S7:T7"/>
    <mergeCell ref="O7:R7"/>
    <mergeCell ref="C7:F7"/>
    <mergeCell ref="J7:N7"/>
    <mergeCell ref="G11:T11"/>
    <mergeCell ref="G10:T10"/>
    <mergeCell ref="B10:F10"/>
    <mergeCell ref="B11:F11"/>
    <mergeCell ref="B13:F13"/>
    <mergeCell ref="G12:T12"/>
    <mergeCell ref="G13:T13"/>
    <mergeCell ref="M33:N33"/>
    <mergeCell ref="M34:N34"/>
    <mergeCell ref="O48:T52"/>
    <mergeCell ref="C15:F15"/>
    <mergeCell ref="B14:B15"/>
    <mergeCell ref="B28:B37"/>
    <mergeCell ref="D35:H35"/>
    <mergeCell ref="D37:H37"/>
    <mergeCell ref="C18:T18"/>
    <mergeCell ref="M55:N55"/>
    <mergeCell ref="O54:P54"/>
    <mergeCell ref="O30:T30"/>
    <mergeCell ref="O31:T31"/>
    <mergeCell ref="O32:T32"/>
    <mergeCell ref="C38:T38"/>
    <mergeCell ref="M39:T39"/>
    <mergeCell ref="C19:T27"/>
    <mergeCell ref="M42:T42"/>
    <mergeCell ref="M43:T43"/>
    <mergeCell ref="D41:J41"/>
    <mergeCell ref="M36:N36"/>
    <mergeCell ref="O37:T37"/>
    <mergeCell ref="D43:J43"/>
    <mergeCell ref="K51:L51"/>
    <mergeCell ref="C48:H48"/>
    <mergeCell ref="I48:N48"/>
    <mergeCell ref="M118:N118"/>
    <mergeCell ref="I89:J89"/>
    <mergeCell ref="K89:L89"/>
    <mergeCell ref="M89:N89"/>
    <mergeCell ref="O89:P89"/>
    <mergeCell ref="Q89:R89"/>
    <mergeCell ref="S89:T89"/>
    <mergeCell ref="B1:S1"/>
    <mergeCell ref="B2:G2"/>
    <mergeCell ref="B3:G3"/>
    <mergeCell ref="M2:O2"/>
    <mergeCell ref="B6:S6"/>
    <mergeCell ref="O55:P55"/>
    <mergeCell ref="M50:N50"/>
    <mergeCell ref="M51:N51"/>
    <mergeCell ref="M52:N52"/>
    <mergeCell ref="M53:N53"/>
    <mergeCell ref="M54:N54"/>
    <mergeCell ref="Q55:R55"/>
    <mergeCell ref="O53:P53"/>
    <mergeCell ref="K54:L54"/>
    <mergeCell ref="K55:L55"/>
    <mergeCell ref="Q53:R53"/>
    <mergeCell ref="Q54:R54"/>
    <mergeCell ref="G89:H89"/>
    <mergeCell ref="I120:J120"/>
    <mergeCell ref="Q120:R120"/>
    <mergeCell ref="I121:J121"/>
    <mergeCell ref="I122:J122"/>
    <mergeCell ref="M122:N122"/>
    <mergeCell ref="B118:B120"/>
    <mergeCell ref="K120:L120"/>
    <mergeCell ref="M120:N120"/>
    <mergeCell ref="E119:F119"/>
    <mergeCell ref="G119:H119"/>
    <mergeCell ref="I119:J119"/>
    <mergeCell ref="K119:L119"/>
    <mergeCell ref="M119:N119"/>
    <mergeCell ref="O118:P118"/>
    <mergeCell ref="O119:P119"/>
    <mergeCell ref="G121:H121"/>
    <mergeCell ref="G122:H122"/>
    <mergeCell ref="C118:D118"/>
    <mergeCell ref="E118:F118"/>
    <mergeCell ref="G118:H118"/>
    <mergeCell ref="C119:D119"/>
    <mergeCell ref="C120:D120"/>
    <mergeCell ref="O121:P121"/>
    <mergeCell ref="G91:H91"/>
    <mergeCell ref="I91:J91"/>
    <mergeCell ref="D34:H34"/>
    <mergeCell ref="C14:F14"/>
    <mergeCell ref="G14:T14"/>
    <mergeCell ref="B17:T17"/>
    <mergeCell ref="M29:N29"/>
    <mergeCell ref="M30:N30"/>
    <mergeCell ref="M31:N31"/>
    <mergeCell ref="M32:N32"/>
    <mergeCell ref="O29:T29"/>
    <mergeCell ref="D29:H29"/>
    <mergeCell ref="O33:T33"/>
    <mergeCell ref="O34:T34"/>
    <mergeCell ref="D30:H30"/>
    <mergeCell ref="D31:H31"/>
    <mergeCell ref="S16:T16"/>
    <mergeCell ref="G15:T15"/>
    <mergeCell ref="B18:B27"/>
    <mergeCell ref="K91:L91"/>
    <mergeCell ref="M91:N91"/>
    <mergeCell ref="O91:P91"/>
    <mergeCell ref="Q91:R91"/>
    <mergeCell ref="S91:T91"/>
    <mergeCell ref="K84:L84"/>
    <mergeCell ref="I83:J83"/>
    <mergeCell ref="C111:T111"/>
    <mergeCell ref="Q119:R119"/>
    <mergeCell ref="O85:P85"/>
    <mergeCell ref="C85:D85"/>
    <mergeCell ref="E85:F85"/>
    <mergeCell ref="G85:H85"/>
    <mergeCell ref="I85:J85"/>
    <mergeCell ref="K85:L85"/>
    <mergeCell ref="C116:T116"/>
    <mergeCell ref="B102:T102"/>
    <mergeCell ref="C103:T103"/>
    <mergeCell ref="C104:T104"/>
    <mergeCell ref="C92:D92"/>
    <mergeCell ref="E92:F92"/>
    <mergeCell ref="G92:H92"/>
    <mergeCell ref="I92:J92"/>
    <mergeCell ref="K92:L92"/>
    <mergeCell ref="C105:T105"/>
    <mergeCell ref="C106:T106"/>
    <mergeCell ref="C109:T109"/>
    <mergeCell ref="C110:T110"/>
    <mergeCell ref="E91:F91"/>
  </mergeCells>
  <conditionalFormatting sqref="C91:F91 I91:L91 C93:F94 I93:L94">
    <cfRule type="cellIs" dxfId="87" priority="13" operator="equal">
      <formula>0</formula>
    </cfRule>
    <cfRule type="cellIs" dxfId="86" priority="14" operator="greaterThan">
      <formula>0</formula>
    </cfRule>
    <cfRule type="cellIs" dxfId="85" priority="15" operator="lessThan">
      <formula>0</formula>
    </cfRule>
  </conditionalFormatting>
  <conditionalFormatting sqref="C132:H132">
    <cfRule type="cellIs" dxfId="84" priority="22" operator="greaterThan">
      <formula>$G$121</formula>
    </cfRule>
  </conditionalFormatting>
  <conditionalFormatting sqref="C133:H133">
    <cfRule type="cellIs" dxfId="83" priority="43" operator="greaterThan">
      <formula>$G$122</formula>
    </cfRule>
  </conditionalFormatting>
  <conditionalFormatting sqref="C134:H134">
    <cfRule type="cellIs" dxfId="82" priority="41" operator="greaterThan">
      <formula>$G$123</formula>
    </cfRule>
  </conditionalFormatting>
  <conditionalFormatting sqref="C135:H135">
    <cfRule type="cellIs" dxfId="81" priority="36" operator="greaterThan">
      <formula>$G$124</formula>
    </cfRule>
  </conditionalFormatting>
  <conditionalFormatting sqref="C121:T125">
    <cfRule type="cellIs" dxfId="80" priority="26" operator="lessThan">
      <formula>0</formula>
    </cfRule>
  </conditionalFormatting>
  <conditionalFormatting sqref="G121:H125">
    <cfRule type="containsText" dxfId="79" priority="25" operator="containsText" text="chyba">
      <formula>NOT(ISERROR(SEARCH("chyba",G121)))</formula>
    </cfRule>
  </conditionalFormatting>
  <conditionalFormatting sqref="I132:N132">
    <cfRule type="cellIs" dxfId="78" priority="44" operator="greaterThan">
      <formula>$M$121</formula>
    </cfRule>
  </conditionalFormatting>
  <conditionalFormatting sqref="I133:N133">
    <cfRule type="cellIs" dxfId="77" priority="42" operator="greaterThan">
      <formula>$M$122</formula>
    </cfRule>
  </conditionalFormatting>
  <conditionalFormatting sqref="I134:N135">
    <cfRule type="cellIs" dxfId="76" priority="9" operator="greaterThan">
      <formula>$M$124</formula>
    </cfRule>
  </conditionalFormatting>
  <conditionalFormatting sqref="K98">
    <cfRule type="cellIs" dxfId="75" priority="12" operator="lessThan">
      <formula>0</formula>
    </cfRule>
  </conditionalFormatting>
  <conditionalFormatting sqref="K99:K100">
    <cfRule type="cellIs" dxfId="74" priority="11" operator="greaterThan">
      <formula>0</formula>
    </cfRule>
  </conditionalFormatting>
  <conditionalFormatting sqref="K100">
    <cfRule type="cellIs" dxfId="73" priority="10" operator="equal">
      <formula>0</formula>
    </cfRule>
  </conditionalFormatting>
  <conditionalFormatting sqref="K30:L37">
    <cfRule type="containsBlanks" priority="1" stopIfTrue="1">
      <formula>LEN(TRIM(K30))=0</formula>
    </cfRule>
    <cfRule type="cellIs" dxfId="72" priority="2" operator="greaterThan">
      <formula>I30</formula>
    </cfRule>
    <cfRule type="cellIs" dxfId="71" priority="3" operator="equal">
      <formula>I30</formula>
    </cfRule>
    <cfRule type="cellIs" dxfId="70" priority="4" operator="lessThan">
      <formula>I30</formula>
    </cfRule>
  </conditionalFormatting>
  <conditionalFormatting sqref="K60:N62 C60:H65 K63:T65">
    <cfRule type="cellIs" dxfId="69" priority="35" operator="lessThan">
      <formula>0</formula>
    </cfRule>
  </conditionalFormatting>
  <conditionalFormatting sqref="M121:N124">
    <cfRule type="containsText" dxfId="68" priority="24" operator="containsText" text="chyba">
      <formula>NOT(ISERROR(SEARCH("chyba",M121)))</formula>
    </cfRule>
  </conditionalFormatting>
  <conditionalFormatting sqref="O132:T132">
    <cfRule type="cellIs" dxfId="67" priority="51" operator="greaterThan">
      <formula>$S$121</formula>
    </cfRule>
  </conditionalFormatting>
  <conditionalFormatting sqref="O133:T133">
    <cfRule type="cellIs" dxfId="66" priority="50" operator="greaterThan">
      <formula>$S$122</formula>
    </cfRule>
  </conditionalFormatting>
  <conditionalFormatting sqref="O134:T134">
    <cfRule type="cellIs" dxfId="65" priority="49" operator="greaterThan">
      <formula>$S$123</formula>
    </cfRule>
  </conditionalFormatting>
  <conditionalFormatting sqref="O135:T135">
    <cfRule type="cellIs" dxfId="64" priority="48" operator="greaterThan">
      <formula>$S$124</formula>
    </cfRule>
  </conditionalFormatting>
  <conditionalFormatting sqref="O136:T136">
    <cfRule type="cellIs" dxfId="63" priority="47" operator="greaterThan">
      <formula>$S$125</formula>
    </cfRule>
  </conditionalFormatting>
  <conditionalFormatting sqref="S121:T125">
    <cfRule type="containsText" dxfId="62" priority="23" operator="containsText" text="chyba">
      <formula>NOT(ISERROR(SEARCH("chyba",S121)))</formula>
    </cfRule>
  </conditionalFormatting>
  <printOptions horizontalCentered="1"/>
  <pageMargins left="0.11811023622047245" right="0.11811023622047245" top="0.29955357142857142" bottom="0.35433070866141736" header="0.2450892857142857" footer="0.31496062992125984"/>
  <pageSetup paperSize="9" scale="58" fitToHeight="0" orientation="portrait" r:id="rId1"/>
  <headerFooter>
    <oddFooter>&amp;R&amp;K01+046&amp;P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2" manualBreakCount="2">
    <brk id="44" max="20" man="1"/>
    <brk id="126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29C705-DFB7-4D37-8533-DA549849BCBF}">
          <x14:formula1>
            <xm:f>'DATA ZDROJ'!$B$37:$B$38</xm:f>
          </x14:formula1>
          <xm:sqref>C7:F7</xm:sqref>
        </x14:dataValidation>
        <x14:dataValidation type="list" allowBlank="1" showInputMessage="1" showErrorMessage="1" xr:uid="{00000000-0002-0000-0000-000001000000}">
          <x14:formula1>
            <xm:f>'DATA ZDROJ'!$B$3:$B$23</xm:f>
          </x14:formula1>
          <xm:sqref>R4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F162"/>
  <sheetViews>
    <sheetView view="pageBreakPreview" zoomScaleNormal="85" zoomScaleSheetLayoutView="100" zoomScalePageLayoutView="130" workbookViewId="0">
      <selection activeCell="G9" sqref="G9:I9"/>
    </sheetView>
  </sheetViews>
  <sheetFormatPr defaultColWidth="9.140625" defaultRowHeight="13.5" x14ac:dyDescent="0.25"/>
  <cols>
    <col min="1" max="1" width="2.28515625" style="2" customWidth="1"/>
    <col min="2" max="2" width="27.5703125" style="1" customWidth="1"/>
    <col min="3" max="3" width="11.42578125" style="1" customWidth="1"/>
    <col min="4" max="4" width="7.140625" style="1" customWidth="1"/>
    <col min="5" max="5" width="10" style="1" customWidth="1"/>
    <col min="6" max="6" width="12.5703125" style="1" customWidth="1"/>
    <col min="7" max="7" width="13" style="1" customWidth="1"/>
    <col min="8" max="8" width="7.85546875" style="1" customWidth="1"/>
    <col min="9" max="9" width="7.140625" style="1" customWidth="1"/>
    <col min="10" max="10" width="13.140625" style="1" customWidth="1"/>
    <col min="11" max="11" width="7.140625" style="1" customWidth="1"/>
    <col min="12" max="12" width="11.5703125" style="1" customWidth="1"/>
    <col min="13" max="13" width="7.140625" style="1" customWidth="1"/>
    <col min="14" max="14" width="10.140625" style="1" customWidth="1"/>
    <col min="15" max="20" width="7.140625" style="1" customWidth="1"/>
    <col min="21" max="21" width="2.28515625" style="2" customWidth="1"/>
    <col min="22" max="24" width="8.85546875" style="1" customWidth="1"/>
    <col min="25" max="34" width="7.140625" style="1" customWidth="1"/>
    <col min="35" max="35" width="23.5703125" style="1" customWidth="1"/>
    <col min="36" max="39" width="5.85546875" style="1" customWidth="1"/>
    <col min="40" max="40" width="49.7109375" style="1" customWidth="1"/>
    <col min="41" max="41" width="25" style="1" customWidth="1"/>
    <col min="42" max="42" width="14.42578125" style="6" customWidth="1"/>
    <col min="43" max="43" width="12" style="1" customWidth="1"/>
    <col min="44" max="44" width="13" style="1" customWidth="1"/>
    <col min="45" max="45" width="12.28515625" style="1" customWidth="1"/>
    <col min="46" max="46" width="13" style="1" customWidth="1"/>
    <col min="47" max="47" width="11.42578125" style="1" customWidth="1"/>
    <col min="48" max="48" width="27.140625" style="1" customWidth="1"/>
    <col min="49" max="49" width="87.85546875" style="1" customWidth="1"/>
    <col min="50" max="50" width="5.85546875" style="1" customWidth="1"/>
    <col min="51" max="58" width="9.140625" style="1" customWidth="1"/>
    <col min="59" max="16384" width="9.140625" style="1"/>
  </cols>
  <sheetData>
    <row r="1" spans="2:58" ht="32.25" customHeight="1" x14ac:dyDescent="0.25">
      <c r="B1" s="332" t="s">
        <v>348</v>
      </c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8"/>
    </row>
    <row r="2" spans="2:58" ht="13.5" customHeight="1" x14ac:dyDescent="0.25">
      <c r="B2" s="333" t="s">
        <v>349</v>
      </c>
      <c r="C2" s="333"/>
      <c r="D2" s="333"/>
      <c r="E2" s="333"/>
      <c r="F2" s="333"/>
      <c r="G2" s="333"/>
      <c r="H2" s="7"/>
      <c r="I2" s="7"/>
      <c r="J2" s="7"/>
      <c r="K2" s="7"/>
      <c r="L2" s="7"/>
      <c r="M2" s="334"/>
      <c r="N2" s="334"/>
      <c r="O2" s="334"/>
      <c r="P2" s="9"/>
      <c r="Q2" s="3"/>
      <c r="R2" s="3"/>
      <c r="S2" s="3"/>
      <c r="T2" s="3"/>
    </row>
    <row r="3" spans="2:58" ht="13.5" customHeight="1" x14ac:dyDescent="0.25">
      <c r="B3" s="333" t="s">
        <v>18</v>
      </c>
      <c r="C3" s="333"/>
      <c r="D3" s="333"/>
      <c r="E3" s="333"/>
      <c r="F3" s="333"/>
      <c r="G3" s="33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2:58" s="2" customFormat="1" ht="37.5" customHeight="1" x14ac:dyDescent="0.25">
      <c r="B4" s="4"/>
      <c r="C4" s="4"/>
      <c r="D4" s="4"/>
      <c r="E4" s="372" t="s">
        <v>57</v>
      </c>
      <c r="F4" s="372"/>
      <c r="G4" s="370" t="s">
        <v>479</v>
      </c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6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</row>
    <row r="5" spans="2:58" s="2" customFormat="1" ht="15.75" thickBot="1" x14ac:dyDescent="0.3">
      <c r="B5" s="335" t="s">
        <v>481</v>
      </c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  <c r="P5" s="335"/>
      <c r="Q5" s="335"/>
      <c r="R5" s="335"/>
      <c r="S5" s="335"/>
      <c r="T5" s="26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6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</row>
    <row r="6" spans="2:58" s="2" customFormat="1" ht="23.25" customHeight="1" thickTop="1" x14ac:dyDescent="0.25">
      <c r="B6" s="25" t="s">
        <v>62</v>
      </c>
      <c r="C6" s="601" t="s">
        <v>336</v>
      </c>
      <c r="D6" s="602"/>
      <c r="E6" s="602"/>
      <c r="F6" s="603"/>
      <c r="G6" s="92" t="s">
        <v>544</v>
      </c>
      <c r="H6" s="93"/>
      <c r="I6" s="93"/>
      <c r="J6" s="379" t="str">
        <f>VLOOKUP(C6,'DATA ZDROJ'!B37:D38,2,0)</f>
        <v>do 14. 2. 2026</v>
      </c>
      <c r="K6" s="379"/>
      <c r="L6" s="379"/>
      <c r="M6" s="379"/>
      <c r="N6" s="380"/>
      <c r="O6" s="375" t="s">
        <v>63</v>
      </c>
      <c r="P6" s="375"/>
      <c r="Q6" s="375"/>
      <c r="R6" s="375"/>
      <c r="S6" s="373">
        <f>VLOOKUP(C6,'DATA ZDROJ'!B37:D38,3,0)</f>
        <v>2025</v>
      </c>
      <c r="T6" s="37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6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</row>
    <row r="7" spans="2:58" s="2" customFormat="1" ht="25.5" customHeight="1" thickBot="1" x14ac:dyDescent="0.3">
      <c r="B7" s="369" t="s">
        <v>516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369"/>
      <c r="O7" s="369"/>
      <c r="P7" s="369"/>
      <c r="Q7" s="369"/>
      <c r="R7" s="369"/>
      <c r="S7" s="369"/>
      <c r="T7" s="369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6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</row>
    <row r="8" spans="2:58" s="2" customFormat="1" ht="36" customHeight="1" thickTop="1" thickBot="1" x14ac:dyDescent="0.3">
      <c r="B8" s="29" t="s">
        <v>45</v>
      </c>
      <c r="C8" s="366" t="e">
        <f>VLOOKUP($G$9,'DATA ZDROJ MOB'!$F$4:$AH$11,2,0)</f>
        <v>#N/A</v>
      </c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7"/>
      <c r="Q8" s="367"/>
      <c r="R8" s="367"/>
      <c r="S8" s="367"/>
      <c r="T8" s="368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6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</row>
    <row r="9" spans="2:58" s="106" customFormat="1" ht="26.25" customHeight="1" thickTop="1" x14ac:dyDescent="0.3">
      <c r="B9" s="594" t="s">
        <v>130</v>
      </c>
      <c r="C9" s="595"/>
      <c r="D9" s="595"/>
      <c r="E9" s="595"/>
      <c r="F9" s="596"/>
      <c r="G9" s="597"/>
      <c r="H9" s="597"/>
      <c r="I9" s="598"/>
      <c r="J9" s="599"/>
      <c r="K9" s="600"/>
      <c r="L9" s="600"/>
      <c r="M9" s="600"/>
      <c r="N9" s="600"/>
      <c r="O9" s="600"/>
      <c r="P9" s="600"/>
      <c r="Q9" s="600"/>
      <c r="R9" s="600"/>
      <c r="S9" s="600"/>
      <c r="T9" s="600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</row>
    <row r="10" spans="2:58" s="2" customFormat="1" ht="20.25" customHeight="1" x14ac:dyDescent="0.25">
      <c r="B10" s="342" t="s">
        <v>8</v>
      </c>
      <c r="C10" s="295" t="s">
        <v>20</v>
      </c>
      <c r="D10" s="296"/>
      <c r="E10" s="296"/>
      <c r="F10" s="297"/>
      <c r="G10" s="591" t="e">
        <f>VLOOKUP($G$9,'DATA ZDROJ MOB'!$F$4:$AH$11,3,0)</f>
        <v>#N/A</v>
      </c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3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6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</row>
    <row r="11" spans="2:58" s="2" customFormat="1" ht="17.25" customHeight="1" x14ac:dyDescent="0.25">
      <c r="B11" s="342"/>
      <c r="C11" s="295" t="s">
        <v>21</v>
      </c>
      <c r="D11" s="296"/>
      <c r="E11" s="296"/>
      <c r="F11" s="297"/>
      <c r="G11" s="591" t="e">
        <f>VLOOKUP($G$9,'DATA ZDROJ MOB'!$F$4:$AH$11,4,0)</f>
        <v>#N/A</v>
      </c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3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6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</row>
    <row r="12" spans="2:58" s="2" customFormat="1" x14ac:dyDescent="0.25">
      <c r="B12" s="27"/>
      <c r="C12" s="28"/>
      <c r="D12" s="2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312"/>
      <c r="T12" s="31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6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2:58" ht="18.75" customHeight="1" thickBot="1" x14ac:dyDescent="0.3">
      <c r="B13" s="273" t="s">
        <v>22</v>
      </c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5"/>
    </row>
    <row r="14" spans="2:58" ht="21.75" customHeight="1" thickTop="1" x14ac:dyDescent="0.25">
      <c r="B14" s="313" t="s">
        <v>129</v>
      </c>
      <c r="C14" s="344" t="s">
        <v>23</v>
      </c>
      <c r="D14" s="344"/>
      <c r="E14" s="344"/>
      <c r="F14" s="344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345"/>
    </row>
    <row r="15" spans="2:58" ht="30" customHeight="1" x14ac:dyDescent="0.25">
      <c r="B15" s="314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80"/>
    </row>
    <row r="16" spans="2:58" ht="30" customHeight="1" x14ac:dyDescent="0.25">
      <c r="B16" s="314"/>
      <c r="C16" s="279"/>
      <c r="D16" s="279"/>
      <c r="E16" s="279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80"/>
    </row>
    <row r="17" spans="2:20" ht="30" customHeight="1" x14ac:dyDescent="0.25">
      <c r="B17" s="314"/>
      <c r="C17" s="279"/>
      <c r="D17" s="279"/>
      <c r="E17" s="279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79"/>
      <c r="Q17" s="279"/>
      <c r="R17" s="279"/>
      <c r="S17" s="279"/>
      <c r="T17" s="280"/>
    </row>
    <row r="18" spans="2:20" ht="29.25" customHeight="1" x14ac:dyDescent="0.25">
      <c r="B18" s="343" t="s">
        <v>24</v>
      </c>
      <c r="C18" s="389" t="s">
        <v>132</v>
      </c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90"/>
    </row>
    <row r="19" spans="2:20" ht="47.25" customHeight="1" x14ac:dyDescent="0.25">
      <c r="B19" s="343"/>
      <c r="C19" s="132" t="s">
        <v>93</v>
      </c>
      <c r="D19" s="586" t="s">
        <v>25</v>
      </c>
      <c r="E19" s="587"/>
      <c r="F19" s="587"/>
      <c r="G19" s="588"/>
      <c r="H19" s="132" t="s">
        <v>344</v>
      </c>
      <c r="I19" s="132" t="s">
        <v>345</v>
      </c>
      <c r="J19" s="132" t="s">
        <v>346</v>
      </c>
      <c r="K19" s="589" t="s">
        <v>347</v>
      </c>
      <c r="L19" s="590"/>
      <c r="M19" s="586" t="s">
        <v>124</v>
      </c>
      <c r="N19" s="588"/>
      <c r="O19" s="306" t="s">
        <v>26</v>
      </c>
      <c r="P19" s="307"/>
      <c r="Q19" s="307"/>
      <c r="R19" s="307"/>
      <c r="S19" s="307"/>
      <c r="T19" s="308"/>
    </row>
    <row r="20" spans="2:20" ht="36" customHeight="1" x14ac:dyDescent="0.25">
      <c r="B20" s="343"/>
      <c r="C20" s="133" t="s">
        <v>343</v>
      </c>
      <c r="D20" s="502" t="str">
        <f>IF(C20="","",VLOOKUP(C20,'DATA ZDROJ Indikatory'!$B$3:$AX$58,3,0))</f>
        <v>Počet zahraničních studentů BSP, MSP, NMSP a DSP, kteří v rámci mobilitních programů přijeli na nejméně 30denní pobyt nebo stáž</v>
      </c>
      <c r="E20" s="503"/>
      <c r="F20" s="503"/>
      <c r="G20" s="504"/>
      <c r="H20" s="134" t="e">
        <f>VLOOKUP($G$9,'DATA ZDROJ MOB'!$F$4:$AH$11,18,0)</f>
        <v>#N/A</v>
      </c>
      <c r="I20" s="134" t="e">
        <f>VLOOKUP($G$9,'DATA ZDROJ MOB'!$F$4:$AH$11,24,0)</f>
        <v>#N/A</v>
      </c>
      <c r="J20" s="134" t="e">
        <f>VLOOKUP($G$9,'DATA ZDROJ MOB'!$F$4:$AR$11,34,0)</f>
        <v>#N/A</v>
      </c>
      <c r="K20" s="494"/>
      <c r="L20" s="495"/>
      <c r="M20" s="499" t="str">
        <f>IF(C20="","",VLOOKUP('Dílčí zpráva projekt 7-Mobility'!$C20,'DATA ZDROJ Indikatory'!$B$5:$E$58,4,0))</f>
        <v>počet</v>
      </c>
      <c r="N20" s="500"/>
      <c r="O20" s="583"/>
      <c r="P20" s="584"/>
      <c r="Q20" s="584"/>
      <c r="R20" s="584"/>
      <c r="S20" s="584"/>
      <c r="T20" s="585"/>
    </row>
    <row r="21" spans="2:20" ht="36" customHeight="1" x14ac:dyDescent="0.25">
      <c r="B21" s="343"/>
      <c r="C21" s="133" t="s">
        <v>216</v>
      </c>
      <c r="D21" s="502" t="str">
        <f>IF(C21="","",VLOOKUP(C21,'DATA ZDROJ Indikatory'!$B$3:$AX$58,3,0))</f>
        <v>Počet studentů BSP, MSP, NMSP a DSP, kteří v rámci mobilitních programů vyjeli na nejméně 14denní pobyt nebo stáž</v>
      </c>
      <c r="E21" s="503"/>
      <c r="F21" s="503"/>
      <c r="G21" s="504"/>
      <c r="H21" s="134" t="e">
        <f>VLOOKUP($G$9,'DATA ZDROJ MOB'!$F$4:$AH$11,19,0)</f>
        <v>#N/A</v>
      </c>
      <c r="I21" s="134" t="e">
        <f>VLOOKUP($G$9,'DATA ZDROJ MOB'!$F$4:$AH$11,25,0)</f>
        <v>#N/A</v>
      </c>
      <c r="J21" s="134" t="e">
        <f>VLOOKUP($G$9,'DATA ZDROJ MOB'!$F$4:$AR$11,35,0)</f>
        <v>#N/A</v>
      </c>
      <c r="K21" s="494"/>
      <c r="L21" s="495"/>
      <c r="M21" s="499" t="str">
        <f>IF(C21="","",VLOOKUP('Dílčí zpráva projekt 7-Mobility'!$C21,'DATA ZDROJ Indikatory'!$B$5:$E$58,4,0))</f>
        <v>počet</v>
      </c>
      <c r="N21" s="500"/>
      <c r="O21" s="496"/>
      <c r="P21" s="497"/>
      <c r="Q21" s="497"/>
      <c r="R21" s="497"/>
      <c r="S21" s="497"/>
      <c r="T21" s="498"/>
    </row>
    <row r="22" spans="2:20" ht="36" customHeight="1" x14ac:dyDescent="0.25">
      <c r="B22" s="343"/>
      <c r="C22" s="133" t="s">
        <v>217</v>
      </c>
      <c r="D22" s="502" t="str">
        <f>IF(C22="","",VLOOKUP(C22,'DATA ZDROJ Indikatory'!$B$3:$AX$58,3,0))</f>
        <v>Počet studentů BSP, MSP, NMSP a DSP, kteří v rámci mobilitních programů vyjeli na nejméně 30denní pobyt nebo stáž</v>
      </c>
      <c r="E22" s="503"/>
      <c r="F22" s="503"/>
      <c r="G22" s="504"/>
      <c r="H22" s="134" t="e">
        <f>VLOOKUP($G$9,'DATA ZDROJ MOB'!$F$4:$AH$11,20,0)</f>
        <v>#N/A</v>
      </c>
      <c r="I22" s="134" t="e">
        <f>VLOOKUP($G$9,'DATA ZDROJ MOB'!$F$4:$AH$11,26,0)</f>
        <v>#N/A</v>
      </c>
      <c r="J22" s="134" t="e">
        <f>VLOOKUP($G$9,'DATA ZDROJ MOB'!$F$4:$AR$11,36,0)</f>
        <v>#N/A</v>
      </c>
      <c r="K22" s="494"/>
      <c r="L22" s="495"/>
      <c r="M22" s="499" t="str">
        <f>IF(C22="","",VLOOKUP('Dílčí zpráva projekt 7-Mobility'!$C22,'DATA ZDROJ Indikatory'!$B$5:$E$58,4,0))</f>
        <v>počet</v>
      </c>
      <c r="N22" s="500"/>
      <c r="O22" s="496"/>
      <c r="P22" s="497"/>
      <c r="Q22" s="497"/>
      <c r="R22" s="497"/>
      <c r="S22" s="497"/>
      <c r="T22" s="498"/>
    </row>
    <row r="23" spans="2:20" ht="36" customHeight="1" x14ac:dyDescent="0.25">
      <c r="B23" s="343"/>
      <c r="C23" s="133" t="s">
        <v>218</v>
      </c>
      <c r="D23" s="505" t="str">
        <f>IF(C23="","",VLOOKUP(C23,'DATA ZDROJ Indikatory'!$B$3:$AX$58,3,0))</f>
        <v>Počet zaměstnanců, kteří vyjeli na pobyt nebo stáž do zahraničí</v>
      </c>
      <c r="E23" s="506"/>
      <c r="F23" s="506"/>
      <c r="G23" s="507"/>
      <c r="H23" s="134" t="e">
        <f>VLOOKUP($G$9,'DATA ZDROJ MOB'!$F$4:$AH$11,21,0)</f>
        <v>#N/A</v>
      </c>
      <c r="I23" s="134" t="e">
        <f>VLOOKUP($G$9,'DATA ZDROJ MOB'!$F$4:$AH$11,27,0)</f>
        <v>#N/A</v>
      </c>
      <c r="J23" s="134" t="e">
        <f>VLOOKUP($G$9,'DATA ZDROJ MOB'!$F$4:$AR$11,37,0)</f>
        <v>#N/A</v>
      </c>
      <c r="K23" s="494"/>
      <c r="L23" s="495"/>
      <c r="M23" s="499" t="str">
        <f>IF(C23="","",VLOOKUP('Dílčí zpráva projekt 7-Mobility'!$C23,'DATA ZDROJ Indikatory'!$B$5:$E$58,4,0))</f>
        <v>počet</v>
      </c>
      <c r="N23" s="500"/>
      <c r="O23" s="496"/>
      <c r="P23" s="497"/>
      <c r="Q23" s="497"/>
      <c r="R23" s="497"/>
      <c r="S23" s="497"/>
      <c r="T23" s="498"/>
    </row>
    <row r="24" spans="2:20" ht="36" customHeight="1" x14ac:dyDescent="0.25">
      <c r="B24" s="343"/>
      <c r="C24" s="133" t="s">
        <v>219</v>
      </c>
      <c r="D24" s="505" t="str">
        <f>IF(C24="","",VLOOKUP(C24,'DATA ZDROJ Indikatory'!$B$3:$AX$58,3,0))</f>
        <v>Počet zahraničních zaměstnanců, kteří přijeli na pobyt nebo stáž</v>
      </c>
      <c r="E24" s="506"/>
      <c r="F24" s="506"/>
      <c r="G24" s="507"/>
      <c r="H24" s="134" t="e">
        <f>VLOOKUP($G$9,'DATA ZDROJ MOB'!$F$4:$AH$11,22,0)</f>
        <v>#N/A</v>
      </c>
      <c r="I24" s="134" t="e">
        <f>VLOOKUP($G$9,'DATA ZDROJ MOB'!$F$4:$AH$11,28,0)</f>
        <v>#N/A</v>
      </c>
      <c r="J24" s="134" t="e">
        <f>VLOOKUP($G$9,'DATA ZDROJ MOB'!$F$4:$AR$11,38,0)</f>
        <v>#N/A</v>
      </c>
      <c r="K24" s="494"/>
      <c r="L24" s="495"/>
      <c r="M24" s="499" t="str">
        <f>IF(C24="","",VLOOKUP('Dílčí zpráva projekt 7-Mobility'!$C24,'DATA ZDROJ Indikatory'!$B$5:$E$58,4,0))</f>
        <v>počet</v>
      </c>
      <c r="N24" s="500"/>
      <c r="O24" s="496"/>
      <c r="P24" s="497"/>
      <c r="Q24" s="497"/>
      <c r="R24" s="497"/>
      <c r="S24" s="497"/>
      <c r="T24" s="498"/>
    </row>
    <row r="25" spans="2:20" ht="36" customHeight="1" x14ac:dyDescent="0.25">
      <c r="B25" s="343"/>
      <c r="C25" s="133" t="s">
        <v>227</v>
      </c>
      <c r="D25" s="505" t="str">
        <f>IF(C25="","",VLOOKUP(C25,'DATA ZDROJ Indikatory'!$B$3:$AX$58,3,0))</f>
        <v>Uspořádání mezinárodní letní školy</v>
      </c>
      <c r="E25" s="506"/>
      <c r="F25" s="506"/>
      <c r="G25" s="507"/>
      <c r="H25" s="134" t="e">
        <f>VLOOKUP($G$9,'DATA ZDROJ MOB'!$F$4:$AH$11,23,0)</f>
        <v>#N/A</v>
      </c>
      <c r="I25" s="134" t="e">
        <f>VLOOKUP($G$9,'DATA ZDROJ MOB'!$F$4:$AH$11,29,0)</f>
        <v>#N/A</v>
      </c>
      <c r="J25" s="134" t="e">
        <f>VLOOKUP($G$9,'DATA ZDROJ MOB'!$F$4:$AR$11,39,0)</f>
        <v>#N/A</v>
      </c>
      <c r="K25" s="494"/>
      <c r="L25" s="495"/>
      <c r="M25" s="499" t="str">
        <f>IF(C25="","",VLOOKUP('Dílčí zpráva projekt 7-Mobility'!$C25,'DATA ZDROJ Indikatory'!$B$5:$E$58,4,0))</f>
        <v>počet</v>
      </c>
      <c r="N25" s="500"/>
      <c r="O25" s="583"/>
      <c r="P25" s="584"/>
      <c r="Q25" s="584"/>
      <c r="R25" s="584"/>
      <c r="S25" s="584"/>
      <c r="T25" s="585"/>
    </row>
    <row r="26" spans="2:20" x14ac:dyDescent="0.25">
      <c r="B26" s="343" t="s">
        <v>27</v>
      </c>
      <c r="C26" s="346" t="s">
        <v>133</v>
      </c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7"/>
    </row>
    <row r="27" spans="2:20" ht="20.25" customHeight="1" x14ac:dyDescent="0.25">
      <c r="B27" s="343"/>
      <c r="C27" s="14" t="s">
        <v>28</v>
      </c>
      <c r="D27" s="391" t="s">
        <v>29</v>
      </c>
      <c r="E27" s="391"/>
      <c r="F27" s="391"/>
      <c r="G27" s="391"/>
      <c r="H27" s="391"/>
      <c r="I27" s="391"/>
      <c r="J27" s="391"/>
      <c r="K27" s="348" t="s">
        <v>71</v>
      </c>
      <c r="L27" s="350"/>
      <c r="M27" s="348" t="s">
        <v>30</v>
      </c>
      <c r="N27" s="349"/>
      <c r="O27" s="349"/>
      <c r="P27" s="349"/>
      <c r="Q27" s="349"/>
      <c r="R27" s="349"/>
      <c r="S27" s="349"/>
      <c r="T27" s="350"/>
    </row>
    <row r="28" spans="2:20" ht="39.75" customHeight="1" x14ac:dyDescent="0.25">
      <c r="B28" s="343"/>
      <c r="C28" s="15">
        <v>1</v>
      </c>
      <c r="D28" s="491"/>
      <c r="E28" s="492"/>
      <c r="F28" s="492"/>
      <c r="G28" s="492"/>
      <c r="H28" s="492"/>
      <c r="I28" s="492"/>
      <c r="J28" s="493"/>
      <c r="K28" s="392"/>
      <c r="L28" s="393"/>
      <c r="M28" s="351"/>
      <c r="N28" s="352"/>
      <c r="O28" s="352"/>
      <c r="P28" s="352"/>
      <c r="Q28" s="352"/>
      <c r="R28" s="352"/>
      <c r="S28" s="352"/>
      <c r="T28" s="353"/>
    </row>
    <row r="29" spans="2:20" ht="39.75" customHeight="1" x14ac:dyDescent="0.25">
      <c r="B29" s="343"/>
      <c r="C29" s="15">
        <v>2</v>
      </c>
      <c r="D29" s="491"/>
      <c r="E29" s="492"/>
      <c r="F29" s="492"/>
      <c r="G29" s="492"/>
      <c r="H29" s="492"/>
      <c r="I29" s="492"/>
      <c r="J29" s="493"/>
      <c r="K29" s="392"/>
      <c r="L29" s="393"/>
      <c r="M29" s="351"/>
      <c r="N29" s="352"/>
      <c r="O29" s="352"/>
      <c r="P29" s="352"/>
      <c r="Q29" s="352"/>
      <c r="R29" s="352"/>
      <c r="S29" s="352"/>
      <c r="T29" s="353"/>
    </row>
    <row r="30" spans="2:20" ht="39.75" customHeight="1" x14ac:dyDescent="0.25">
      <c r="B30" s="343"/>
      <c r="C30" s="15">
        <v>3</v>
      </c>
      <c r="D30" s="491"/>
      <c r="E30" s="492"/>
      <c r="F30" s="492"/>
      <c r="G30" s="492"/>
      <c r="H30" s="492"/>
      <c r="I30" s="492"/>
      <c r="J30" s="493"/>
      <c r="K30" s="392"/>
      <c r="L30" s="393"/>
      <c r="M30" s="351"/>
      <c r="N30" s="352"/>
      <c r="O30" s="352"/>
      <c r="P30" s="352"/>
      <c r="Q30" s="352"/>
      <c r="R30" s="352"/>
      <c r="S30" s="352"/>
      <c r="T30" s="353"/>
    </row>
    <row r="31" spans="2:20" ht="11.25" customHeight="1" x14ac:dyDescent="0.25"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</row>
    <row r="32" spans="2:20" ht="15.75" customHeight="1" thickBot="1" x14ac:dyDescent="0.3">
      <c r="B32" s="501" t="s">
        <v>60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</row>
    <row r="33" spans="1:42" ht="15.75" customHeight="1" thickTop="1" x14ac:dyDescent="0.25">
      <c r="B33" s="410" t="s">
        <v>107</v>
      </c>
      <c r="C33" s="410"/>
      <c r="D33" s="410"/>
      <c r="E33" s="410"/>
      <c r="F33" s="410"/>
      <c r="G33" s="410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  <c r="T33" s="410"/>
    </row>
    <row r="34" spans="1:42" s="11" customFormat="1" ht="13.5" customHeight="1" x14ac:dyDescent="0.2">
      <c r="A34" s="10"/>
      <c r="B34" s="421" t="s">
        <v>3</v>
      </c>
      <c r="C34" s="572" t="s">
        <v>314</v>
      </c>
      <c r="D34" s="572"/>
      <c r="E34" s="572"/>
      <c r="F34" s="572"/>
      <c r="G34" s="572"/>
      <c r="H34" s="531"/>
      <c r="I34" s="582" t="s">
        <v>315</v>
      </c>
      <c r="J34" s="572"/>
      <c r="K34" s="572"/>
      <c r="L34" s="572"/>
      <c r="M34" s="572"/>
      <c r="N34" s="531"/>
      <c r="O34" s="577" t="s">
        <v>477</v>
      </c>
      <c r="P34" s="577"/>
      <c r="Q34" s="577"/>
      <c r="R34" s="577"/>
      <c r="S34" s="577"/>
      <c r="T34" s="577"/>
      <c r="U34" s="10"/>
      <c r="AP34" s="12"/>
    </row>
    <row r="35" spans="1:42" s="11" customFormat="1" ht="11.25" customHeight="1" x14ac:dyDescent="0.2">
      <c r="A35" s="10"/>
      <c r="B35" s="421"/>
      <c r="C35" s="574">
        <v>2024</v>
      </c>
      <c r="D35" s="574"/>
      <c r="E35" s="574">
        <v>2025</v>
      </c>
      <c r="F35" s="574"/>
      <c r="G35" s="574" t="s">
        <v>108</v>
      </c>
      <c r="H35" s="575"/>
      <c r="I35" s="581">
        <v>2023</v>
      </c>
      <c r="J35" s="574"/>
      <c r="K35" s="574">
        <v>2024</v>
      </c>
      <c r="L35" s="574"/>
      <c r="M35" s="574" t="s">
        <v>108</v>
      </c>
      <c r="N35" s="575"/>
      <c r="O35" s="577"/>
      <c r="P35" s="577"/>
      <c r="Q35" s="577"/>
      <c r="R35" s="577"/>
      <c r="S35" s="577"/>
      <c r="T35" s="577"/>
      <c r="U35" s="10"/>
      <c r="AP35" s="12"/>
    </row>
    <row r="36" spans="1:42" ht="13.5" hidden="1" customHeight="1" x14ac:dyDescent="0.25">
      <c r="B36" s="56" t="s">
        <v>51</v>
      </c>
      <c r="C36" s="561" t="e">
        <f>SUM(C37)</f>
        <v>#N/A</v>
      </c>
      <c r="D36" s="561"/>
      <c r="E36" s="561" t="e">
        <f>SUM(E37)</f>
        <v>#N/A</v>
      </c>
      <c r="F36" s="561"/>
      <c r="G36" s="562" t="e">
        <f>SUM(G37)</f>
        <v>#N/A</v>
      </c>
      <c r="H36" s="540"/>
      <c r="I36" s="580">
        <f>SUM(I37)</f>
        <v>0</v>
      </c>
      <c r="J36" s="561"/>
      <c r="K36" s="561">
        <f>SUM(K37)</f>
        <v>0</v>
      </c>
      <c r="L36" s="561"/>
      <c r="M36" s="562">
        <f>SUM(M37)</f>
        <v>0</v>
      </c>
      <c r="N36" s="540"/>
      <c r="O36" s="577"/>
      <c r="P36" s="577"/>
      <c r="Q36" s="577"/>
      <c r="R36" s="577"/>
      <c r="S36" s="577"/>
      <c r="T36" s="577"/>
      <c r="V36" s="35"/>
    </row>
    <row r="37" spans="1:42" ht="13.5" hidden="1" customHeight="1" x14ac:dyDescent="0.25">
      <c r="B37" s="129" t="s">
        <v>85</v>
      </c>
      <c r="C37" s="555" t="e">
        <f>VLOOKUP($G$9,'DATA ZDROJ MOB'!$E$4:$AB$11,6,0)</f>
        <v>#N/A</v>
      </c>
      <c r="D37" s="555"/>
      <c r="E37" s="555" t="e">
        <f>VLOOKUP($G$9,'DATA ZDROJ MOB'!$E$4:$AB$11,11,0)</f>
        <v>#N/A</v>
      </c>
      <c r="F37" s="555"/>
      <c r="G37" s="557" t="e">
        <f>SUM(C37:F37)</f>
        <v>#N/A</v>
      </c>
      <c r="H37" s="548"/>
      <c r="I37" s="578">
        <v>0</v>
      </c>
      <c r="J37" s="555"/>
      <c r="K37" s="555">
        <v>0</v>
      </c>
      <c r="L37" s="555"/>
      <c r="M37" s="557">
        <f>SUM(I37:L37)</f>
        <v>0</v>
      </c>
      <c r="N37" s="548"/>
      <c r="O37" s="577"/>
      <c r="P37" s="577"/>
      <c r="Q37" s="577"/>
      <c r="R37" s="577"/>
      <c r="S37" s="577"/>
      <c r="T37" s="577"/>
      <c r="V37" s="35"/>
    </row>
    <row r="38" spans="1:42" ht="13.5" customHeight="1" x14ac:dyDescent="0.25">
      <c r="B38" s="56" t="s">
        <v>73</v>
      </c>
      <c r="C38" s="561" t="e">
        <f>SUM(C39:C40)</f>
        <v>#N/A</v>
      </c>
      <c r="D38" s="561"/>
      <c r="E38" s="561" t="e">
        <f>SUM(E39:E40)</f>
        <v>#N/A</v>
      </c>
      <c r="F38" s="561"/>
      <c r="G38" s="562" t="e">
        <f>SUM(G39:G40)</f>
        <v>#N/A</v>
      </c>
      <c r="H38" s="540"/>
      <c r="I38" s="580">
        <f>SUM(I39:I40)</f>
        <v>0</v>
      </c>
      <c r="J38" s="561"/>
      <c r="K38" s="561" t="e">
        <f>SUM(K39:K40)</f>
        <v>#N/A</v>
      </c>
      <c r="L38" s="561"/>
      <c r="M38" s="562" t="e">
        <f>SUM(M39:M40)</f>
        <v>#N/A</v>
      </c>
      <c r="N38" s="540"/>
      <c r="O38" s="577"/>
      <c r="P38" s="577"/>
      <c r="Q38" s="577"/>
      <c r="R38" s="577"/>
      <c r="S38" s="577"/>
      <c r="T38" s="577"/>
      <c r="V38" s="35"/>
    </row>
    <row r="39" spans="1:42" ht="24.75" customHeight="1" x14ac:dyDescent="0.25">
      <c r="B39" s="129" t="s">
        <v>86</v>
      </c>
      <c r="C39" s="555" t="e">
        <f>VLOOKUP($G$9,'DATA ZDROJ MOB'!$F$4:$AH$11,6,0)</f>
        <v>#N/A</v>
      </c>
      <c r="D39" s="555"/>
      <c r="E39" s="555" t="e">
        <f>VLOOKUP($G$9,'DATA ZDROJ MOB'!$F$4:$AH$11,11,0)</f>
        <v>#N/A</v>
      </c>
      <c r="F39" s="555"/>
      <c r="G39" s="557" t="e">
        <f t="shared" ref="G39:G40" si="0">SUM(C39:F39)</f>
        <v>#N/A</v>
      </c>
      <c r="H39" s="548"/>
      <c r="I39" s="578">
        <v>0</v>
      </c>
      <c r="J39" s="555"/>
      <c r="K39" s="555" t="e">
        <f>VLOOKUP($G$9,'DATA ZDROJ MOB'!$F$4:$AR$11,32,0)</f>
        <v>#N/A</v>
      </c>
      <c r="L39" s="555"/>
      <c r="M39" s="557" t="e">
        <f t="shared" ref="M39:M40" si="1">SUM(I39:L39)</f>
        <v>#N/A</v>
      </c>
      <c r="N39" s="548"/>
      <c r="O39" s="577"/>
      <c r="P39" s="577"/>
      <c r="Q39" s="577"/>
      <c r="R39" s="577"/>
      <c r="S39" s="577"/>
      <c r="T39" s="577"/>
      <c r="V39" s="35"/>
    </row>
    <row r="40" spans="1:42" ht="13.5" customHeight="1" x14ac:dyDescent="0.25">
      <c r="B40" s="145" t="s">
        <v>87</v>
      </c>
      <c r="C40" s="555" t="e">
        <f>VLOOKUP($G$9,'DATA ZDROJ MOB'!$F$4:$AH$11,7,0)</f>
        <v>#N/A</v>
      </c>
      <c r="D40" s="555"/>
      <c r="E40" s="555" t="e">
        <f>VLOOKUP($G$9,'DATA ZDROJ MOB'!$F$4:$AH$11,12,0)</f>
        <v>#N/A</v>
      </c>
      <c r="F40" s="555"/>
      <c r="G40" s="557" t="e">
        <f t="shared" si="0"/>
        <v>#N/A</v>
      </c>
      <c r="H40" s="548"/>
      <c r="I40" s="578">
        <v>0</v>
      </c>
      <c r="J40" s="555"/>
      <c r="K40" s="555" t="e">
        <f>VLOOKUP($G$9,'DATA ZDROJ MOB'!$F$4:$AR$11,33,0)</f>
        <v>#N/A</v>
      </c>
      <c r="L40" s="555"/>
      <c r="M40" s="557" t="e">
        <f t="shared" si="1"/>
        <v>#N/A</v>
      </c>
      <c r="N40" s="548"/>
      <c r="O40" s="577"/>
      <c r="P40" s="577"/>
      <c r="Q40" s="577"/>
      <c r="R40" s="577"/>
      <c r="S40" s="577"/>
      <c r="T40" s="577"/>
      <c r="V40" s="35"/>
    </row>
    <row r="41" spans="1:42" ht="13.5" customHeight="1" x14ac:dyDescent="0.25">
      <c r="B41" s="56" t="s">
        <v>74</v>
      </c>
      <c r="C41" s="553" t="e">
        <f>SUM(C39,C40)</f>
        <v>#N/A</v>
      </c>
      <c r="D41" s="566"/>
      <c r="E41" s="553" t="e">
        <f t="shared" ref="E41" si="2">SUM(E39,E40)</f>
        <v>#N/A</v>
      </c>
      <c r="F41" s="566"/>
      <c r="G41" s="553" t="e">
        <f t="shared" ref="G41" si="3">SUM(G39,G40)</f>
        <v>#N/A</v>
      </c>
      <c r="H41" s="567"/>
      <c r="I41" s="579">
        <f t="shared" ref="I41" si="4">SUM(I39,I40)</f>
        <v>0</v>
      </c>
      <c r="J41" s="566"/>
      <c r="K41" s="553" t="e">
        <f t="shared" ref="K41" si="5">SUM(K39,K40)</f>
        <v>#N/A</v>
      </c>
      <c r="L41" s="566"/>
      <c r="M41" s="553" t="e">
        <f t="shared" ref="M41" si="6">SUM(M39,M40)</f>
        <v>#N/A</v>
      </c>
      <c r="N41" s="566"/>
      <c r="O41" s="551"/>
      <c r="P41" s="551"/>
      <c r="Q41" s="551"/>
      <c r="R41" s="551"/>
      <c r="S41" s="551"/>
      <c r="T41" s="551"/>
      <c r="V41" s="35"/>
    </row>
    <row r="42" spans="1:42" ht="3" customHeight="1" thickBot="1" x14ac:dyDescent="0.3">
      <c r="B42" s="142"/>
      <c r="C42" s="143"/>
      <c r="D42" s="143"/>
      <c r="E42" s="142"/>
      <c r="F42" s="142"/>
      <c r="G42" s="142"/>
      <c r="H42" s="142"/>
      <c r="I42" s="142"/>
      <c r="J42" s="142"/>
      <c r="K42" s="142"/>
      <c r="L42" s="142"/>
      <c r="M42" s="142"/>
      <c r="N42" s="142"/>
      <c r="O42" s="144"/>
      <c r="P42" s="144"/>
      <c r="Q42" s="144"/>
      <c r="R42" s="144"/>
      <c r="S42" s="144"/>
      <c r="T42" s="144"/>
    </row>
    <row r="43" spans="1:42" ht="15.75" customHeight="1" thickTop="1" x14ac:dyDescent="0.25">
      <c r="B43" s="571" t="s">
        <v>316</v>
      </c>
      <c r="C43" s="571"/>
      <c r="D43" s="571"/>
      <c r="E43" s="571"/>
      <c r="F43" s="571"/>
      <c r="G43" s="571"/>
      <c r="H43" s="571"/>
      <c r="I43" s="571"/>
      <c r="J43" s="571"/>
      <c r="K43" s="571"/>
      <c r="L43" s="571"/>
      <c r="M43" s="480" t="s">
        <v>128</v>
      </c>
      <c r="N43" s="480"/>
      <c r="O43" s="481"/>
      <c r="P43" s="481"/>
      <c r="Q43" s="481"/>
      <c r="R43" s="481"/>
      <c r="S43" s="481"/>
      <c r="T43" s="481"/>
    </row>
    <row r="44" spans="1:42" s="11" customFormat="1" ht="12.75" customHeight="1" x14ac:dyDescent="0.2">
      <c r="A44" s="10"/>
      <c r="B44" s="421" t="s">
        <v>3</v>
      </c>
      <c r="C44" s="572" t="s">
        <v>317</v>
      </c>
      <c r="D44" s="572"/>
      <c r="E44" s="572"/>
      <c r="F44" s="572"/>
      <c r="G44" s="572"/>
      <c r="H44" s="531"/>
      <c r="I44" s="573" t="s">
        <v>318</v>
      </c>
      <c r="J44" s="572"/>
      <c r="K44" s="572"/>
      <c r="L44" s="572"/>
      <c r="M44" s="572"/>
      <c r="N44" s="531"/>
      <c r="O44" s="577" t="s">
        <v>476</v>
      </c>
      <c r="P44" s="577"/>
      <c r="Q44" s="577"/>
      <c r="R44" s="577"/>
      <c r="S44" s="577"/>
      <c r="T44" s="577"/>
      <c r="U44" s="10"/>
      <c r="AP44" s="12"/>
    </row>
    <row r="45" spans="1:42" s="11" customFormat="1" ht="11.25" customHeight="1" x14ac:dyDescent="0.2">
      <c r="A45" s="10"/>
      <c r="B45" s="421"/>
      <c r="C45" s="574">
        <v>2024</v>
      </c>
      <c r="D45" s="574"/>
      <c r="E45" s="574">
        <v>2025</v>
      </c>
      <c r="F45" s="574"/>
      <c r="G45" s="574" t="s">
        <v>108</v>
      </c>
      <c r="H45" s="575"/>
      <c r="I45" s="576">
        <v>2024</v>
      </c>
      <c r="J45" s="574"/>
      <c r="K45" s="574">
        <v>2025</v>
      </c>
      <c r="L45" s="574"/>
      <c r="M45" s="574" t="s">
        <v>108</v>
      </c>
      <c r="N45" s="575"/>
      <c r="O45" s="577"/>
      <c r="P45" s="577"/>
      <c r="Q45" s="577"/>
      <c r="R45" s="577"/>
      <c r="S45" s="577"/>
      <c r="T45" s="577"/>
      <c r="U45" s="10"/>
      <c r="AP45" s="12"/>
    </row>
    <row r="46" spans="1:42" ht="13.5" hidden="1" customHeight="1" x14ac:dyDescent="0.25">
      <c r="B46" s="56" t="s">
        <v>51</v>
      </c>
      <c r="C46" s="561">
        <f>SUM(C47)</f>
        <v>0</v>
      </c>
      <c r="D46" s="561"/>
      <c r="E46" s="561">
        <f>SUM(E47)</f>
        <v>0</v>
      </c>
      <c r="F46" s="561"/>
      <c r="G46" s="562">
        <f>SUM(G47)</f>
        <v>0</v>
      </c>
      <c r="H46" s="540"/>
      <c r="I46" s="570">
        <f>SUM(I47)</f>
        <v>0</v>
      </c>
      <c r="J46" s="561"/>
      <c r="K46" s="561">
        <f>SUM(K47)</f>
        <v>0</v>
      </c>
      <c r="L46" s="561"/>
      <c r="M46" s="562">
        <f>SUM(M47)</f>
        <v>0</v>
      </c>
      <c r="N46" s="540"/>
      <c r="O46" s="577"/>
      <c r="P46" s="577"/>
      <c r="Q46" s="577"/>
      <c r="R46" s="577"/>
      <c r="S46" s="577"/>
      <c r="T46" s="577"/>
      <c r="V46" s="35"/>
    </row>
    <row r="47" spans="1:42" ht="13.5" hidden="1" customHeight="1" x14ac:dyDescent="0.25">
      <c r="B47" s="129" t="s">
        <v>85</v>
      </c>
      <c r="C47" s="555">
        <v>0</v>
      </c>
      <c r="D47" s="555"/>
      <c r="E47" s="555">
        <v>0</v>
      </c>
      <c r="F47" s="555"/>
      <c r="G47" s="557">
        <f>SUM(C47:F47)</f>
        <v>0</v>
      </c>
      <c r="H47" s="548"/>
      <c r="I47" s="558">
        <v>0</v>
      </c>
      <c r="J47" s="555"/>
      <c r="K47" s="555">
        <v>0</v>
      </c>
      <c r="L47" s="555"/>
      <c r="M47" s="557">
        <f>SUM(I47:L47)</f>
        <v>0</v>
      </c>
      <c r="N47" s="548"/>
      <c r="O47" s="577"/>
      <c r="P47" s="577"/>
      <c r="Q47" s="577"/>
      <c r="R47" s="577"/>
      <c r="S47" s="577"/>
      <c r="T47" s="577"/>
      <c r="V47" s="35"/>
    </row>
    <row r="48" spans="1:42" ht="13.5" customHeight="1" x14ac:dyDescent="0.25">
      <c r="B48" s="56" t="s">
        <v>73</v>
      </c>
      <c r="C48" s="561">
        <f>SUM(C49:C50)</f>
        <v>0</v>
      </c>
      <c r="D48" s="561"/>
      <c r="E48" s="561">
        <f>SUM(E49:E50)</f>
        <v>0</v>
      </c>
      <c r="F48" s="561"/>
      <c r="G48" s="562">
        <f>SUM(G49:G50)</f>
        <v>0</v>
      </c>
      <c r="H48" s="540"/>
      <c r="I48" s="570">
        <f>SUM(I49:I50)</f>
        <v>0</v>
      </c>
      <c r="J48" s="561"/>
      <c r="K48" s="561">
        <f>SUM(K49:K50)</f>
        <v>0</v>
      </c>
      <c r="L48" s="561"/>
      <c r="M48" s="562">
        <f>SUM(M49:M50)</f>
        <v>0</v>
      </c>
      <c r="N48" s="540"/>
      <c r="O48" s="577"/>
      <c r="P48" s="577"/>
      <c r="Q48" s="577"/>
      <c r="R48" s="577"/>
      <c r="S48" s="577"/>
      <c r="T48" s="577"/>
      <c r="V48" s="35"/>
    </row>
    <row r="49" spans="1:42" ht="21.75" customHeight="1" x14ac:dyDescent="0.25">
      <c r="B49" s="129" t="s">
        <v>86</v>
      </c>
      <c r="C49" s="569"/>
      <c r="D49" s="569"/>
      <c r="E49" s="556"/>
      <c r="F49" s="556"/>
      <c r="G49" s="557">
        <f t="shared" ref="G49" si="7">SUM(C49:F49)</f>
        <v>0</v>
      </c>
      <c r="H49" s="548"/>
      <c r="I49" s="558">
        <v>0</v>
      </c>
      <c r="J49" s="555"/>
      <c r="K49" s="556"/>
      <c r="L49" s="556"/>
      <c r="M49" s="557">
        <f t="shared" ref="M49:M50" si="8">SUM(I49:L49)</f>
        <v>0</v>
      </c>
      <c r="N49" s="548"/>
      <c r="O49" s="559"/>
      <c r="P49" s="559"/>
      <c r="Q49" s="559"/>
      <c r="R49" s="559"/>
      <c r="S49" s="560"/>
      <c r="T49" s="560"/>
      <c r="V49" s="35"/>
    </row>
    <row r="50" spans="1:42" ht="13.5" customHeight="1" x14ac:dyDescent="0.25">
      <c r="B50" s="145" t="s">
        <v>87</v>
      </c>
      <c r="C50" s="569"/>
      <c r="D50" s="569"/>
      <c r="E50" s="556"/>
      <c r="F50" s="556"/>
      <c r="G50" s="557">
        <f>SUM(C50:F50)</f>
        <v>0</v>
      </c>
      <c r="H50" s="548"/>
      <c r="I50" s="558">
        <v>0</v>
      </c>
      <c r="J50" s="555"/>
      <c r="K50" s="556"/>
      <c r="L50" s="556"/>
      <c r="M50" s="557">
        <f t="shared" si="8"/>
        <v>0</v>
      </c>
      <c r="N50" s="548"/>
      <c r="O50" s="559"/>
      <c r="P50" s="559"/>
      <c r="Q50" s="559"/>
      <c r="R50" s="559"/>
      <c r="S50" s="560"/>
      <c r="T50" s="560"/>
      <c r="V50" s="35"/>
    </row>
    <row r="51" spans="1:42" ht="13.5" customHeight="1" x14ac:dyDescent="0.25">
      <c r="B51" s="56" t="s">
        <v>74</v>
      </c>
      <c r="C51" s="553">
        <f>SUM(C49,C50)</f>
        <v>0</v>
      </c>
      <c r="D51" s="566"/>
      <c r="E51" s="553">
        <f t="shared" ref="E51" si="9">SUM(E49,E50)</f>
        <v>0</v>
      </c>
      <c r="F51" s="566"/>
      <c r="G51" s="553">
        <f t="shared" ref="G51" si="10">SUM(G49,G50)</f>
        <v>0</v>
      </c>
      <c r="H51" s="567"/>
      <c r="I51" s="568">
        <f t="shared" ref="I51" si="11">SUM(I49,I50)</f>
        <v>0</v>
      </c>
      <c r="J51" s="566"/>
      <c r="K51" s="553">
        <f t="shared" ref="K51" si="12">SUM(K49,K50)</f>
        <v>0</v>
      </c>
      <c r="L51" s="566"/>
      <c r="M51" s="553">
        <f t="shared" ref="M51" si="13">SUM(M49,M50)</f>
        <v>0</v>
      </c>
      <c r="N51" s="566"/>
      <c r="O51" s="551"/>
      <c r="P51" s="551"/>
      <c r="Q51" s="551"/>
      <c r="R51" s="551"/>
      <c r="S51" s="551"/>
      <c r="T51" s="551"/>
      <c r="V51" s="35"/>
    </row>
    <row r="52" spans="1:42" ht="3" customHeight="1" thickBot="1" x14ac:dyDescent="0.3">
      <c r="B52" s="142"/>
      <c r="C52" s="143"/>
      <c r="D52" s="143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4"/>
      <c r="P52" s="144"/>
      <c r="Q52" s="144"/>
      <c r="R52" s="144"/>
      <c r="S52" s="144"/>
      <c r="T52" s="144"/>
    </row>
    <row r="53" spans="1:42" ht="15.75" customHeight="1" thickTop="1" x14ac:dyDescent="0.25">
      <c r="B53" s="530" t="s">
        <v>490</v>
      </c>
      <c r="C53" s="530"/>
      <c r="D53" s="530"/>
      <c r="E53" s="530"/>
      <c r="F53" s="530"/>
      <c r="G53" s="530"/>
      <c r="H53" s="530"/>
      <c r="I53" s="530"/>
      <c r="J53" s="530"/>
      <c r="K53" s="530"/>
      <c r="L53" s="530"/>
      <c r="M53" s="530"/>
      <c r="N53" s="530"/>
      <c r="O53" s="530"/>
      <c r="P53" s="530"/>
      <c r="Q53" s="530"/>
      <c r="R53" s="530"/>
      <c r="S53" s="530"/>
      <c r="T53" s="530"/>
    </row>
    <row r="54" spans="1:42" s="11" customFormat="1" ht="12.75" customHeight="1" x14ac:dyDescent="0.2">
      <c r="A54" s="10"/>
      <c r="B54" s="411" t="s">
        <v>3</v>
      </c>
      <c r="C54" s="531" t="s">
        <v>324</v>
      </c>
      <c r="D54" s="532"/>
      <c r="E54" s="532"/>
      <c r="F54" s="532"/>
      <c r="G54" s="532"/>
      <c r="H54" s="532"/>
      <c r="I54" s="565" t="s">
        <v>319</v>
      </c>
      <c r="J54" s="532"/>
      <c r="K54" s="532"/>
      <c r="L54" s="532"/>
      <c r="M54" s="532"/>
      <c r="N54" s="532"/>
      <c r="O54" s="577" t="s">
        <v>491</v>
      </c>
      <c r="P54" s="577"/>
      <c r="Q54" s="577"/>
      <c r="R54" s="577"/>
      <c r="S54" s="577"/>
      <c r="T54" s="577"/>
      <c r="U54" s="10"/>
      <c r="AP54" s="12"/>
    </row>
    <row r="55" spans="1:42" s="11" customFormat="1" ht="11.25" customHeight="1" x14ac:dyDescent="0.2">
      <c r="A55" s="10"/>
      <c r="B55" s="412"/>
      <c r="C55" s="534">
        <v>2024</v>
      </c>
      <c r="D55" s="535"/>
      <c r="E55" s="534">
        <v>2025</v>
      </c>
      <c r="F55" s="535"/>
      <c r="G55" s="534" t="s">
        <v>108</v>
      </c>
      <c r="H55" s="537"/>
      <c r="I55" s="564">
        <v>2024</v>
      </c>
      <c r="J55" s="535"/>
      <c r="K55" s="534">
        <v>2025</v>
      </c>
      <c r="L55" s="535"/>
      <c r="M55" s="534" t="s">
        <v>108</v>
      </c>
      <c r="N55" s="537"/>
      <c r="O55" s="577"/>
      <c r="P55" s="577"/>
      <c r="Q55" s="577"/>
      <c r="R55" s="577"/>
      <c r="S55" s="577"/>
      <c r="T55" s="577"/>
      <c r="U55" s="10"/>
      <c r="AP55" s="12"/>
    </row>
    <row r="56" spans="1:42" ht="13.5" hidden="1" customHeight="1" x14ac:dyDescent="0.25">
      <c r="B56" s="56" t="s">
        <v>51</v>
      </c>
      <c r="C56" s="538" t="e">
        <f>SUM(C57)</f>
        <v>#N/A</v>
      </c>
      <c r="D56" s="539"/>
      <c r="E56" s="538" t="e">
        <f>SUM(E57)</f>
        <v>#N/A</v>
      </c>
      <c r="F56" s="539"/>
      <c r="G56" s="540" t="e">
        <f>SUM(G57)</f>
        <v>#N/A</v>
      </c>
      <c r="H56" s="543"/>
      <c r="I56" s="563">
        <f>SUM(I57)</f>
        <v>0</v>
      </c>
      <c r="J56" s="539"/>
      <c r="K56" s="538">
        <f>SUM(K57)</f>
        <v>0</v>
      </c>
      <c r="L56" s="539"/>
      <c r="M56" s="540">
        <f>SUM(M57)</f>
        <v>0</v>
      </c>
      <c r="N56" s="543"/>
      <c r="O56" s="577"/>
      <c r="P56" s="577"/>
      <c r="Q56" s="577"/>
      <c r="R56" s="577"/>
      <c r="S56" s="577"/>
      <c r="T56" s="577"/>
      <c r="V56" s="35"/>
    </row>
    <row r="57" spans="1:42" ht="13.5" hidden="1" customHeight="1" x14ac:dyDescent="0.25">
      <c r="B57" s="129" t="s">
        <v>85</v>
      </c>
      <c r="C57" s="546" t="e">
        <f>SUM(C37,C47)</f>
        <v>#N/A</v>
      </c>
      <c r="D57" s="547"/>
      <c r="E57" s="546" t="e">
        <f>SUM(E37,E47)</f>
        <v>#N/A</v>
      </c>
      <c r="F57" s="547"/>
      <c r="G57" s="548" t="e">
        <f>SUM(C57:F57)</f>
        <v>#N/A</v>
      </c>
      <c r="H57" s="604"/>
      <c r="I57" s="605">
        <v>0</v>
      </c>
      <c r="J57" s="547"/>
      <c r="K57" s="546">
        <f>SUM(K37,K47)</f>
        <v>0</v>
      </c>
      <c r="L57" s="547"/>
      <c r="M57" s="548">
        <f>SUM(I57:L57)</f>
        <v>0</v>
      </c>
      <c r="N57" s="604"/>
      <c r="O57" s="577"/>
      <c r="P57" s="577"/>
      <c r="Q57" s="577"/>
      <c r="R57" s="577"/>
      <c r="S57" s="577"/>
      <c r="T57" s="577"/>
      <c r="V57" s="35"/>
    </row>
    <row r="58" spans="1:42" ht="13.5" customHeight="1" x14ac:dyDescent="0.25">
      <c r="B58" s="56" t="s">
        <v>73</v>
      </c>
      <c r="C58" s="538" t="e">
        <f>SUM(C59:C60)</f>
        <v>#N/A</v>
      </c>
      <c r="D58" s="539"/>
      <c r="E58" s="538" t="e">
        <f>SUM(E59:E60)</f>
        <v>#N/A</v>
      </c>
      <c r="F58" s="539"/>
      <c r="G58" s="540" t="e">
        <f>SUM(G59:G60)</f>
        <v>#N/A</v>
      </c>
      <c r="H58" s="543"/>
      <c r="I58" s="563">
        <f>SUM(I59:I60)</f>
        <v>0</v>
      </c>
      <c r="J58" s="539"/>
      <c r="K58" s="538" t="e">
        <f>SUM(K59:K60)</f>
        <v>#N/A</v>
      </c>
      <c r="L58" s="539"/>
      <c r="M58" s="540" t="e">
        <f>SUM(M59:M60)</f>
        <v>#N/A</v>
      </c>
      <c r="N58" s="543"/>
      <c r="O58" s="577"/>
      <c r="P58" s="577"/>
      <c r="Q58" s="577"/>
      <c r="R58" s="577"/>
      <c r="S58" s="577"/>
      <c r="T58" s="577"/>
      <c r="V58" s="35"/>
    </row>
    <row r="59" spans="1:42" ht="28.5" customHeight="1" x14ac:dyDescent="0.25">
      <c r="B59" s="129" t="s">
        <v>86</v>
      </c>
      <c r="C59" s="546" t="e">
        <f>SUM(C39,C49)</f>
        <v>#N/A</v>
      </c>
      <c r="D59" s="547"/>
      <c r="E59" s="546" t="e">
        <f>SUM(E39,E49)</f>
        <v>#N/A</v>
      </c>
      <c r="F59" s="547"/>
      <c r="G59" s="548" t="e">
        <f t="shared" ref="G59:G60" si="14">SUM(C59:F59)</f>
        <v>#N/A</v>
      </c>
      <c r="H59" s="604"/>
      <c r="I59" s="558">
        <f>SUM(I39,I49)</f>
        <v>0</v>
      </c>
      <c r="J59" s="555"/>
      <c r="K59" s="546" t="e">
        <f>SUM(K39,K49)</f>
        <v>#N/A</v>
      </c>
      <c r="L59" s="547"/>
      <c r="M59" s="548" t="e">
        <f t="shared" ref="M59:M60" si="15">SUM(I59:L59)</f>
        <v>#N/A</v>
      </c>
      <c r="N59" s="604"/>
      <c r="O59" s="559"/>
      <c r="P59" s="559"/>
      <c r="Q59" s="559"/>
      <c r="R59" s="559"/>
      <c r="S59" s="560"/>
      <c r="T59" s="560"/>
      <c r="V59" s="35"/>
    </row>
    <row r="60" spans="1:42" ht="13.5" customHeight="1" x14ac:dyDescent="0.25">
      <c r="B60" s="145" t="s">
        <v>87</v>
      </c>
      <c r="C60" s="546" t="e">
        <f>SUM(C40,C50)</f>
        <v>#N/A</v>
      </c>
      <c r="D60" s="547"/>
      <c r="E60" s="546" t="e">
        <f>SUM(E40,E50)</f>
        <v>#N/A</v>
      </c>
      <c r="F60" s="547"/>
      <c r="G60" s="548" t="e">
        <f t="shared" si="14"/>
        <v>#N/A</v>
      </c>
      <c r="H60" s="604"/>
      <c r="I60" s="558">
        <f>SUM(I40,I50)</f>
        <v>0</v>
      </c>
      <c r="J60" s="555"/>
      <c r="K60" s="546" t="e">
        <f>SUM(K40,K50)</f>
        <v>#N/A</v>
      </c>
      <c r="L60" s="547"/>
      <c r="M60" s="548" t="e">
        <f t="shared" si="15"/>
        <v>#N/A</v>
      </c>
      <c r="N60" s="604"/>
      <c r="O60" s="559"/>
      <c r="P60" s="559"/>
      <c r="Q60" s="559"/>
      <c r="R60" s="559"/>
      <c r="S60" s="560"/>
      <c r="T60" s="560"/>
      <c r="V60" s="35"/>
    </row>
    <row r="61" spans="1:42" ht="13.5" customHeight="1" x14ac:dyDescent="0.25">
      <c r="B61" s="56" t="s">
        <v>74</v>
      </c>
      <c r="C61" s="553" t="e">
        <f>SUM(C59,C60)</f>
        <v>#N/A</v>
      </c>
      <c r="D61" s="566"/>
      <c r="E61" s="553" t="e">
        <f t="shared" ref="E61" si="16">SUM(E59,E60)</f>
        <v>#N/A</v>
      </c>
      <c r="F61" s="566"/>
      <c r="G61" s="553" t="e">
        <f t="shared" ref="G61" si="17">SUM(G59,G60)</f>
        <v>#N/A</v>
      </c>
      <c r="H61" s="567"/>
      <c r="I61" s="568">
        <f t="shared" ref="I61" si="18">SUM(I59,I60)</f>
        <v>0</v>
      </c>
      <c r="J61" s="566"/>
      <c r="K61" s="553" t="e">
        <f t="shared" ref="K61" si="19">SUM(K59,K60)</f>
        <v>#N/A</v>
      </c>
      <c r="L61" s="566"/>
      <c r="M61" s="553" t="e">
        <f t="shared" ref="M61" si="20">SUM(M59,M60)</f>
        <v>#N/A</v>
      </c>
      <c r="N61" s="566"/>
      <c r="O61" s="551"/>
      <c r="P61" s="551"/>
      <c r="Q61" s="551"/>
      <c r="R61" s="551"/>
      <c r="S61" s="551"/>
      <c r="T61" s="551"/>
      <c r="V61" s="35"/>
    </row>
    <row r="62" spans="1:42" ht="3" customHeight="1" thickBot="1" x14ac:dyDescent="0.3">
      <c r="B62" s="142"/>
      <c r="C62" s="143"/>
      <c r="D62" s="143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4"/>
      <c r="P62" s="144"/>
      <c r="Q62" s="144"/>
      <c r="R62" s="144"/>
      <c r="S62" s="144"/>
      <c r="T62" s="144"/>
    </row>
    <row r="63" spans="1:42" ht="15.75" customHeight="1" thickTop="1" x14ac:dyDescent="0.25">
      <c r="B63" s="530" t="s">
        <v>72</v>
      </c>
      <c r="C63" s="530"/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530"/>
      <c r="Q63" s="530"/>
      <c r="R63" s="530"/>
      <c r="S63" s="530"/>
      <c r="T63" s="530"/>
    </row>
    <row r="64" spans="1:42" s="11" customFormat="1" ht="12.75" customHeight="1" x14ac:dyDescent="0.2">
      <c r="A64" s="10"/>
      <c r="B64" s="411" t="s">
        <v>3</v>
      </c>
      <c r="C64" s="531" t="s">
        <v>320</v>
      </c>
      <c r="D64" s="532"/>
      <c r="E64" s="532"/>
      <c r="F64" s="532"/>
      <c r="G64" s="532"/>
      <c r="H64" s="532"/>
      <c r="I64" s="565" t="s">
        <v>321</v>
      </c>
      <c r="J64" s="532"/>
      <c r="K64" s="532"/>
      <c r="L64" s="532"/>
      <c r="M64" s="532"/>
      <c r="N64" s="532"/>
      <c r="O64" s="607" t="s">
        <v>494</v>
      </c>
      <c r="P64" s="607"/>
      <c r="Q64" s="607"/>
      <c r="R64" s="607"/>
      <c r="S64" s="607"/>
      <c r="T64" s="607"/>
      <c r="U64" s="10"/>
      <c r="AP64" s="12"/>
    </row>
    <row r="65" spans="1:42" s="11" customFormat="1" ht="11.25" customHeight="1" x14ac:dyDescent="0.2">
      <c r="A65" s="10"/>
      <c r="B65" s="412"/>
      <c r="C65" s="534">
        <v>2024</v>
      </c>
      <c r="D65" s="535"/>
      <c r="E65" s="534">
        <v>2025</v>
      </c>
      <c r="F65" s="535"/>
      <c r="G65" s="534" t="s">
        <v>108</v>
      </c>
      <c r="H65" s="537"/>
      <c r="I65" s="564">
        <v>2024</v>
      </c>
      <c r="J65" s="535"/>
      <c r="K65" s="534">
        <v>2025</v>
      </c>
      <c r="L65" s="535"/>
      <c r="M65" s="534" t="s">
        <v>108</v>
      </c>
      <c r="N65" s="537"/>
      <c r="O65" s="607"/>
      <c r="P65" s="607"/>
      <c r="Q65" s="607"/>
      <c r="R65" s="607"/>
      <c r="S65" s="607"/>
      <c r="T65" s="607"/>
      <c r="U65" s="10"/>
      <c r="AP65" s="12"/>
    </row>
    <row r="66" spans="1:42" ht="13.5" hidden="1" customHeight="1" x14ac:dyDescent="0.25">
      <c r="B66" s="56" t="s">
        <v>51</v>
      </c>
      <c r="C66" s="561">
        <f>SUM(C67)</f>
        <v>0</v>
      </c>
      <c r="D66" s="561"/>
      <c r="E66" s="561">
        <f>SUM(E67)</f>
        <v>0</v>
      </c>
      <c r="F66" s="561"/>
      <c r="G66" s="562">
        <f>SUM(G67)</f>
        <v>0</v>
      </c>
      <c r="H66" s="540"/>
      <c r="I66" s="563">
        <f>SUM(I67)</f>
        <v>0</v>
      </c>
      <c r="J66" s="539"/>
      <c r="K66" s="561">
        <f>SUM(K67)</f>
        <v>0</v>
      </c>
      <c r="L66" s="561"/>
      <c r="M66" s="562">
        <f>SUM(M67)</f>
        <v>0</v>
      </c>
      <c r="N66" s="540"/>
      <c r="O66" s="607"/>
      <c r="P66" s="607"/>
      <c r="Q66" s="607"/>
      <c r="R66" s="607"/>
      <c r="S66" s="607"/>
      <c r="T66" s="607"/>
      <c r="V66" s="35"/>
    </row>
    <row r="67" spans="1:42" ht="13.5" hidden="1" customHeight="1" x14ac:dyDescent="0.25">
      <c r="B67" s="129" t="s">
        <v>85</v>
      </c>
      <c r="C67" s="555">
        <v>0</v>
      </c>
      <c r="D67" s="555"/>
      <c r="E67" s="555">
        <v>0</v>
      </c>
      <c r="F67" s="555"/>
      <c r="G67" s="557">
        <f>SUM(C67:F67)</f>
        <v>0</v>
      </c>
      <c r="H67" s="548"/>
      <c r="I67" s="558">
        <v>0</v>
      </c>
      <c r="J67" s="555"/>
      <c r="K67" s="555">
        <v>0</v>
      </c>
      <c r="L67" s="555"/>
      <c r="M67" s="557">
        <f>SUM(I67:L67)</f>
        <v>0</v>
      </c>
      <c r="N67" s="548"/>
      <c r="O67" s="607"/>
      <c r="P67" s="607"/>
      <c r="Q67" s="607"/>
      <c r="R67" s="607"/>
      <c r="S67" s="607"/>
      <c r="T67" s="607"/>
      <c r="V67" s="35"/>
    </row>
    <row r="68" spans="1:42" ht="13.5" customHeight="1" x14ac:dyDescent="0.25">
      <c r="B68" s="56" t="s">
        <v>73</v>
      </c>
      <c r="C68" s="561" t="e">
        <f>SUM(C69:C70)</f>
        <v>#N/A</v>
      </c>
      <c r="D68" s="561"/>
      <c r="E68" s="561">
        <f>SUM(E69:E70)</f>
        <v>0</v>
      </c>
      <c r="F68" s="561"/>
      <c r="G68" s="562" t="e">
        <f>SUM(G69:G70)</f>
        <v>#N/A</v>
      </c>
      <c r="H68" s="540"/>
      <c r="I68" s="563">
        <f>SUM(I69:I70)</f>
        <v>0</v>
      </c>
      <c r="J68" s="539"/>
      <c r="K68" s="561">
        <f>SUM(K69:K70)</f>
        <v>0</v>
      </c>
      <c r="L68" s="561"/>
      <c r="M68" s="562">
        <f>SUM(M69:M70)</f>
        <v>0</v>
      </c>
      <c r="N68" s="540"/>
      <c r="O68" s="607"/>
      <c r="P68" s="607"/>
      <c r="Q68" s="607"/>
      <c r="R68" s="607"/>
      <c r="S68" s="607"/>
      <c r="T68" s="607"/>
      <c r="V68" s="35"/>
    </row>
    <row r="69" spans="1:42" ht="23.25" customHeight="1" x14ac:dyDescent="0.25">
      <c r="B69" s="129" t="s">
        <v>86</v>
      </c>
      <c r="C69" s="555" t="e">
        <f>VLOOKUP($G$9,'DATA ZDROJ MOB'!$F$4:$AR$11,30,0)</f>
        <v>#N/A</v>
      </c>
      <c r="D69" s="555"/>
      <c r="E69" s="556"/>
      <c r="F69" s="556"/>
      <c r="G69" s="557" t="e">
        <f t="shared" ref="G69:G70" si="21">SUM(C69:F69)</f>
        <v>#N/A</v>
      </c>
      <c r="H69" s="548"/>
      <c r="I69" s="558">
        <v>0</v>
      </c>
      <c r="J69" s="555"/>
      <c r="K69" s="556"/>
      <c r="L69" s="556"/>
      <c r="M69" s="557">
        <f t="shared" ref="M69:M70" si="22">SUM(I69:L69)</f>
        <v>0</v>
      </c>
      <c r="N69" s="548"/>
      <c r="O69" s="559"/>
      <c r="P69" s="559"/>
      <c r="Q69" s="559"/>
      <c r="R69" s="559"/>
      <c r="S69" s="560"/>
      <c r="T69" s="560"/>
      <c r="V69" s="35"/>
    </row>
    <row r="70" spans="1:42" ht="13.5" customHeight="1" x14ac:dyDescent="0.25">
      <c r="B70" s="145" t="s">
        <v>87</v>
      </c>
      <c r="C70" s="555" t="e">
        <f>VLOOKUP($G$9,'DATA ZDROJ MOB'!$F$4:$AR$11,31,0)</f>
        <v>#N/A</v>
      </c>
      <c r="D70" s="555"/>
      <c r="E70" s="556"/>
      <c r="F70" s="556"/>
      <c r="G70" s="557" t="e">
        <f t="shared" si="21"/>
        <v>#N/A</v>
      </c>
      <c r="H70" s="548"/>
      <c r="I70" s="558">
        <v>0</v>
      </c>
      <c r="J70" s="555"/>
      <c r="K70" s="556"/>
      <c r="L70" s="556"/>
      <c r="M70" s="557">
        <f t="shared" si="22"/>
        <v>0</v>
      </c>
      <c r="N70" s="548"/>
      <c r="O70" s="559"/>
      <c r="P70" s="559"/>
      <c r="Q70" s="559"/>
      <c r="R70" s="559"/>
      <c r="S70" s="560"/>
      <c r="T70" s="560"/>
      <c r="V70" s="35"/>
    </row>
    <row r="71" spans="1:42" ht="13.5" customHeight="1" x14ac:dyDescent="0.25">
      <c r="B71" s="56" t="s">
        <v>74</v>
      </c>
      <c r="C71" s="552" t="e">
        <f>SUM(C69,C70)</f>
        <v>#N/A</v>
      </c>
      <c r="D71" s="552"/>
      <c r="E71" s="552">
        <f t="shared" ref="E71" si="23">SUM(E69,E70)</f>
        <v>0</v>
      </c>
      <c r="F71" s="552"/>
      <c r="G71" s="552" t="e">
        <f t="shared" ref="G71" si="24">SUM(G69,G70)</f>
        <v>#N/A</v>
      </c>
      <c r="H71" s="553"/>
      <c r="I71" s="554">
        <f t="shared" ref="I71" si="25">SUM(I69,I70)</f>
        <v>0</v>
      </c>
      <c r="J71" s="552"/>
      <c r="K71" s="552">
        <f t="shared" ref="K71" si="26">SUM(K69,K70)</f>
        <v>0</v>
      </c>
      <c r="L71" s="552"/>
      <c r="M71" s="552">
        <f t="shared" ref="M71" si="27">SUM(M69,M70)</f>
        <v>0</v>
      </c>
      <c r="N71" s="552"/>
      <c r="O71" s="551"/>
      <c r="P71" s="551"/>
      <c r="Q71" s="551"/>
      <c r="R71" s="551"/>
      <c r="S71" s="551"/>
      <c r="T71" s="551"/>
      <c r="V71" s="35"/>
    </row>
    <row r="72" spans="1:42" ht="3" customHeight="1" thickBot="1" x14ac:dyDescent="0.3">
      <c r="B72" s="142"/>
      <c r="C72" s="143"/>
      <c r="D72" s="143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4"/>
      <c r="P72" s="144"/>
      <c r="Q72" s="144"/>
      <c r="R72" s="144"/>
      <c r="S72" s="144"/>
      <c r="T72" s="144"/>
    </row>
    <row r="73" spans="1:42" ht="15.75" customHeight="1" thickTop="1" x14ac:dyDescent="0.25">
      <c r="B73" s="530" t="s">
        <v>137</v>
      </c>
      <c r="C73" s="530"/>
      <c r="D73" s="530"/>
      <c r="E73" s="530"/>
      <c r="F73" s="530"/>
      <c r="G73" s="530"/>
      <c r="H73" s="530"/>
      <c r="I73" s="530"/>
      <c r="J73" s="530"/>
      <c r="K73" s="530"/>
      <c r="L73" s="530"/>
      <c r="M73" s="530"/>
      <c r="N73" s="530"/>
      <c r="O73" s="530"/>
      <c r="P73" s="530"/>
      <c r="Q73" s="530"/>
      <c r="R73" s="530"/>
      <c r="S73" s="530"/>
      <c r="T73" s="530"/>
    </row>
    <row r="74" spans="1:42" s="11" customFormat="1" ht="12.75" customHeight="1" x14ac:dyDescent="0.2">
      <c r="A74" s="10"/>
      <c r="B74" s="411" t="s">
        <v>3</v>
      </c>
      <c r="C74" s="531" t="s">
        <v>322</v>
      </c>
      <c r="D74" s="532"/>
      <c r="E74" s="532"/>
      <c r="F74" s="532"/>
      <c r="G74" s="532"/>
      <c r="H74" s="533"/>
      <c r="I74" s="532" t="s">
        <v>326</v>
      </c>
      <c r="J74" s="532"/>
      <c r="K74" s="532"/>
      <c r="L74" s="532"/>
      <c r="M74" s="532"/>
      <c r="N74" s="532"/>
      <c r="O74" s="577" t="s">
        <v>475</v>
      </c>
      <c r="P74" s="577"/>
      <c r="Q74" s="577"/>
      <c r="R74" s="577"/>
      <c r="S74" s="577"/>
      <c r="T74" s="577"/>
      <c r="U74" s="10"/>
      <c r="AP74" s="12"/>
    </row>
    <row r="75" spans="1:42" s="11" customFormat="1" ht="11.25" customHeight="1" x14ac:dyDescent="0.2">
      <c r="A75" s="10"/>
      <c r="B75" s="412"/>
      <c r="C75" s="534">
        <v>2024</v>
      </c>
      <c r="D75" s="535"/>
      <c r="E75" s="534">
        <v>2025</v>
      </c>
      <c r="F75" s="535"/>
      <c r="G75" s="534" t="s">
        <v>108</v>
      </c>
      <c r="H75" s="536"/>
      <c r="I75" s="537">
        <v>2024</v>
      </c>
      <c r="J75" s="535"/>
      <c r="K75" s="534">
        <v>2025</v>
      </c>
      <c r="L75" s="535"/>
      <c r="M75" s="534" t="s">
        <v>108</v>
      </c>
      <c r="N75" s="537"/>
      <c r="O75" s="577"/>
      <c r="P75" s="577"/>
      <c r="Q75" s="577"/>
      <c r="R75" s="577"/>
      <c r="S75" s="577"/>
      <c r="T75" s="577"/>
      <c r="U75" s="10"/>
      <c r="AP75" s="12"/>
    </row>
    <row r="76" spans="1:42" ht="13.5" hidden="1" customHeight="1" x14ac:dyDescent="0.25">
      <c r="B76" s="56" t="s">
        <v>51</v>
      </c>
      <c r="C76" s="538" t="e">
        <f>SUM(C77)</f>
        <v>#N/A</v>
      </c>
      <c r="D76" s="539"/>
      <c r="E76" s="538" t="e">
        <f>SUM(E77)</f>
        <v>#N/A</v>
      </c>
      <c r="F76" s="539"/>
      <c r="G76" s="540" t="e">
        <f>SUM(G77)</f>
        <v>#N/A</v>
      </c>
      <c r="H76" s="541"/>
      <c r="I76" s="542">
        <f>SUM(I77)</f>
        <v>0</v>
      </c>
      <c r="J76" s="539"/>
      <c r="K76" s="538">
        <f>SUM(K77)</f>
        <v>0</v>
      </c>
      <c r="L76" s="539"/>
      <c r="M76" s="540">
        <f>SUM(M77)</f>
        <v>0</v>
      </c>
      <c r="N76" s="543"/>
      <c r="O76" s="544"/>
      <c r="P76" s="544"/>
      <c r="Q76" s="544"/>
      <c r="R76" s="544"/>
      <c r="S76" s="545"/>
      <c r="T76" s="545"/>
      <c r="V76" s="35"/>
    </row>
    <row r="77" spans="1:42" ht="13.5" hidden="1" customHeight="1" x14ac:dyDescent="0.25">
      <c r="B77" s="129" t="s">
        <v>85</v>
      </c>
      <c r="C77" s="546" t="e">
        <f>C57-C67</f>
        <v>#N/A</v>
      </c>
      <c r="D77" s="547"/>
      <c r="E77" s="546" t="e">
        <f>E57-E67</f>
        <v>#N/A</v>
      </c>
      <c r="F77" s="547"/>
      <c r="G77" s="548" t="e">
        <f>SUM(C77:F77)</f>
        <v>#N/A</v>
      </c>
      <c r="H77" s="549"/>
      <c r="I77" s="550">
        <f t="shared" ref="I77" si="28">I57-I67</f>
        <v>0</v>
      </c>
      <c r="J77" s="547"/>
      <c r="K77" s="546">
        <f t="shared" ref="K77" si="29">K57-K67</f>
        <v>0</v>
      </c>
      <c r="L77" s="547"/>
      <c r="M77" s="548">
        <f>SUM(I77:L77)</f>
        <v>0</v>
      </c>
      <c r="N77" s="604"/>
      <c r="O77" s="606"/>
      <c r="P77" s="606"/>
      <c r="Q77" s="606"/>
      <c r="R77" s="606"/>
      <c r="S77" s="560"/>
      <c r="T77" s="560"/>
      <c r="V77" s="35"/>
    </row>
    <row r="78" spans="1:42" ht="13.5" customHeight="1" x14ac:dyDescent="0.25">
      <c r="B78" s="56" t="s">
        <v>73</v>
      </c>
      <c r="C78" s="538" t="e">
        <f>SUM(C79:C80)</f>
        <v>#N/A</v>
      </c>
      <c r="D78" s="539"/>
      <c r="E78" s="538" t="e">
        <f>SUM(E79:E80)</f>
        <v>#N/A</v>
      </c>
      <c r="F78" s="539"/>
      <c r="G78" s="540" t="e">
        <f>SUM(G79:G80)</f>
        <v>#N/A</v>
      </c>
      <c r="H78" s="541"/>
      <c r="I78" s="542">
        <f>SUM(I79:I80)</f>
        <v>0</v>
      </c>
      <c r="J78" s="539"/>
      <c r="K78" s="538" t="e">
        <f>SUM(K79:K80)</f>
        <v>#N/A</v>
      </c>
      <c r="L78" s="539"/>
      <c r="M78" s="540" t="e">
        <f>SUM(M79:M80)</f>
        <v>#N/A</v>
      </c>
      <c r="N78" s="543"/>
      <c r="O78" s="544"/>
      <c r="P78" s="544"/>
      <c r="Q78" s="544"/>
      <c r="R78" s="544"/>
      <c r="S78" s="545"/>
      <c r="T78" s="545"/>
      <c r="V78" s="35"/>
    </row>
    <row r="79" spans="1:42" ht="27.75" customHeight="1" x14ac:dyDescent="0.25">
      <c r="B79" s="129" t="s">
        <v>86</v>
      </c>
      <c r="C79" s="546" t="e">
        <f>C59-C69</f>
        <v>#N/A</v>
      </c>
      <c r="D79" s="547"/>
      <c r="E79" s="546" t="e">
        <f t="shared" ref="E79:E80" si="30">E59-E69</f>
        <v>#N/A</v>
      </c>
      <c r="F79" s="547"/>
      <c r="G79" s="548" t="e">
        <f t="shared" ref="G79:G80" si="31">SUM(C79:F79)</f>
        <v>#N/A</v>
      </c>
      <c r="H79" s="549"/>
      <c r="I79" s="550">
        <f>I59-I69</f>
        <v>0</v>
      </c>
      <c r="J79" s="547"/>
      <c r="K79" s="546" t="e">
        <f>K59-K69</f>
        <v>#N/A</v>
      </c>
      <c r="L79" s="547"/>
      <c r="M79" s="548" t="e">
        <f t="shared" ref="M79:M80" si="32">SUM(I79:L79)</f>
        <v>#N/A</v>
      </c>
      <c r="N79" s="604"/>
      <c r="O79" s="606"/>
      <c r="P79" s="606"/>
      <c r="Q79" s="606"/>
      <c r="R79" s="606"/>
      <c r="S79" s="560"/>
      <c r="T79" s="560"/>
      <c r="V79" s="35"/>
    </row>
    <row r="80" spans="1:42" ht="13.5" customHeight="1" x14ac:dyDescent="0.25">
      <c r="B80" s="145" t="s">
        <v>87</v>
      </c>
      <c r="C80" s="546" t="e">
        <f>C60-C70</f>
        <v>#N/A</v>
      </c>
      <c r="D80" s="547"/>
      <c r="E80" s="546" t="e">
        <f t="shared" si="30"/>
        <v>#N/A</v>
      </c>
      <c r="F80" s="547"/>
      <c r="G80" s="548" t="e">
        <f t="shared" si="31"/>
        <v>#N/A</v>
      </c>
      <c r="H80" s="549"/>
      <c r="I80" s="550">
        <f>I60-I70</f>
        <v>0</v>
      </c>
      <c r="J80" s="547"/>
      <c r="K80" s="546" t="e">
        <f>K60-K70</f>
        <v>#N/A</v>
      </c>
      <c r="L80" s="547"/>
      <c r="M80" s="548" t="e">
        <f t="shared" si="32"/>
        <v>#N/A</v>
      </c>
      <c r="N80" s="604"/>
      <c r="O80" s="606"/>
      <c r="P80" s="606"/>
      <c r="Q80" s="606"/>
      <c r="R80" s="606"/>
      <c r="S80" s="560"/>
      <c r="T80" s="560"/>
      <c r="V80" s="35"/>
    </row>
    <row r="81" spans="2:22" ht="13.5" customHeight="1" x14ac:dyDescent="0.25">
      <c r="B81" s="56" t="s">
        <v>74</v>
      </c>
      <c r="C81" s="553" t="e">
        <f>SUM(C79,C80)</f>
        <v>#N/A</v>
      </c>
      <c r="D81" s="566"/>
      <c r="E81" s="553" t="e">
        <f t="shared" ref="E81" si="33">SUM(E79,E80)</f>
        <v>#N/A</v>
      </c>
      <c r="F81" s="566"/>
      <c r="G81" s="553" t="e">
        <f t="shared" ref="G81" si="34">SUM(G79,G80)</f>
        <v>#N/A</v>
      </c>
      <c r="H81" s="608"/>
      <c r="I81" s="567">
        <f t="shared" ref="I81" si="35">SUM(I79,I80)</f>
        <v>0</v>
      </c>
      <c r="J81" s="566"/>
      <c r="K81" s="553" t="e">
        <f t="shared" ref="K81" si="36">SUM(K79,K80)</f>
        <v>#N/A</v>
      </c>
      <c r="L81" s="566"/>
      <c r="M81" s="553" t="e">
        <f t="shared" ref="M81" si="37">SUM(M79,M80)</f>
        <v>#N/A</v>
      </c>
      <c r="N81" s="566"/>
      <c r="O81" s="551"/>
      <c r="P81" s="551"/>
      <c r="Q81" s="551"/>
      <c r="R81" s="551"/>
      <c r="S81" s="551"/>
      <c r="T81" s="551"/>
      <c r="V81" s="35"/>
    </row>
    <row r="82" spans="2:22" ht="3" customHeight="1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2:22" x14ac:dyDescent="0.25">
      <c r="B83" s="111" t="s">
        <v>138</v>
      </c>
      <c r="C83" s="2"/>
      <c r="D83" s="2"/>
      <c r="E83" s="2"/>
      <c r="F83" s="2"/>
      <c r="G83" s="2"/>
      <c r="H83" s="2"/>
      <c r="I83" s="2"/>
      <c r="J83" s="2"/>
      <c r="K83" s="2"/>
      <c r="L83" s="112"/>
      <c r="M83" s="112"/>
      <c r="N83" s="112"/>
      <c r="O83" s="112"/>
      <c r="P83" s="112"/>
      <c r="Q83" s="112"/>
      <c r="R83" s="112"/>
      <c r="S83" s="112"/>
      <c r="T83" s="112"/>
    </row>
    <row r="84" spans="2:22" ht="10.5" customHeight="1" x14ac:dyDescent="0.25">
      <c r="B84" s="486" t="s">
        <v>313</v>
      </c>
      <c r="C84" s="486"/>
      <c r="D84" s="486"/>
      <c r="E84" s="486"/>
      <c r="F84" s="486"/>
      <c r="G84" s="486"/>
      <c r="H84" s="486"/>
      <c r="I84" s="486"/>
      <c r="J84" s="486"/>
      <c r="K84" s="110">
        <v>-1E-3</v>
      </c>
      <c r="L84" s="489" t="s">
        <v>139</v>
      </c>
      <c r="M84" s="489"/>
      <c r="N84" s="489"/>
      <c r="O84" s="489"/>
      <c r="P84" s="489"/>
      <c r="Q84" s="489"/>
      <c r="R84" s="489"/>
      <c r="S84" s="489"/>
      <c r="T84" s="489"/>
    </row>
    <row r="85" spans="2:22" ht="10.5" customHeight="1" x14ac:dyDescent="0.25">
      <c r="B85" s="487"/>
      <c r="C85" s="487"/>
      <c r="D85" s="487"/>
      <c r="E85" s="487"/>
      <c r="F85" s="487"/>
      <c r="G85" s="487"/>
      <c r="H85" s="487"/>
      <c r="I85" s="487"/>
      <c r="J85" s="487"/>
      <c r="K85" s="109">
        <v>1E-3</v>
      </c>
      <c r="L85" s="490" t="s">
        <v>141</v>
      </c>
      <c r="M85" s="490"/>
      <c r="N85" s="490"/>
      <c r="O85" s="490"/>
      <c r="P85" s="490"/>
      <c r="Q85" s="490"/>
      <c r="R85" s="490"/>
      <c r="S85" s="490"/>
      <c r="T85" s="490"/>
    </row>
    <row r="86" spans="2:22" ht="10.5" customHeight="1" x14ac:dyDescent="0.25">
      <c r="B86" s="487" t="s">
        <v>350</v>
      </c>
      <c r="C86" s="487"/>
      <c r="D86" s="487"/>
      <c r="E86" s="487"/>
      <c r="F86" s="487"/>
      <c r="G86" s="487"/>
      <c r="H86" s="487"/>
      <c r="I86" s="487"/>
      <c r="J86" s="487"/>
      <c r="K86" s="109">
        <v>0</v>
      </c>
      <c r="L86" s="490" t="s">
        <v>140</v>
      </c>
      <c r="M86" s="490"/>
      <c r="N86" s="490"/>
      <c r="O86" s="490"/>
      <c r="P86" s="490"/>
      <c r="Q86" s="490"/>
      <c r="R86" s="490"/>
      <c r="S86" s="490"/>
      <c r="T86" s="490"/>
    </row>
    <row r="87" spans="2:22" ht="3" customHeight="1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2:22" ht="15.75" customHeight="1" thickBot="1" x14ac:dyDescent="0.3">
      <c r="B88" s="501" t="s">
        <v>31</v>
      </c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1"/>
      <c r="P88" s="501"/>
      <c r="Q88" s="501"/>
      <c r="R88" s="501"/>
      <c r="S88" s="501"/>
      <c r="T88" s="501"/>
    </row>
    <row r="89" spans="2:22" ht="15" customHeight="1" thickTop="1" x14ac:dyDescent="0.25">
      <c r="B89" s="32"/>
      <c r="C89" s="276" t="s">
        <v>48</v>
      </c>
      <c r="D89" s="277"/>
      <c r="E89" s="277"/>
      <c r="F89" s="277"/>
      <c r="G89" s="277"/>
      <c r="H89" s="277"/>
      <c r="I89" s="277"/>
      <c r="J89" s="277"/>
      <c r="K89" s="277"/>
      <c r="L89" s="277"/>
      <c r="M89" s="277"/>
      <c r="N89" s="277"/>
      <c r="O89" s="277"/>
      <c r="P89" s="277"/>
      <c r="Q89" s="277"/>
      <c r="R89" s="277"/>
      <c r="S89" s="277"/>
      <c r="T89" s="278"/>
    </row>
    <row r="90" spans="2:22" ht="52.5" hidden="1" customHeight="1" thickTop="1" x14ac:dyDescent="0.25">
      <c r="B90" s="16" t="s">
        <v>35</v>
      </c>
      <c r="C90" s="279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  <c r="O90" s="279"/>
      <c r="P90" s="279"/>
      <c r="Q90" s="279"/>
      <c r="R90" s="279"/>
      <c r="S90" s="279"/>
      <c r="T90" s="280"/>
    </row>
    <row r="91" spans="2:22" ht="52.5" customHeight="1" x14ac:dyDescent="0.25">
      <c r="B91" s="16" t="s">
        <v>36</v>
      </c>
      <c r="C91" s="279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  <c r="O91" s="279"/>
      <c r="P91" s="279"/>
      <c r="Q91" s="279"/>
      <c r="R91" s="279"/>
      <c r="S91" s="279"/>
      <c r="T91" s="280"/>
    </row>
    <row r="92" spans="2:22" ht="52.5" customHeight="1" x14ac:dyDescent="0.25">
      <c r="B92" s="16" t="s">
        <v>37</v>
      </c>
      <c r="C92" s="279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  <c r="O92" s="279"/>
      <c r="P92" s="279"/>
      <c r="Q92" s="279"/>
      <c r="R92" s="279"/>
      <c r="S92" s="279"/>
      <c r="T92" s="280"/>
    </row>
    <row r="93" spans="2:22" ht="6" customHeight="1" x14ac:dyDescent="0.25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</row>
    <row r="94" spans="2:22" ht="15.75" customHeight="1" thickBot="1" x14ac:dyDescent="0.3">
      <c r="B94" s="402" t="s">
        <v>341</v>
      </c>
      <c r="C94" s="402"/>
      <c r="D94" s="402"/>
      <c r="E94" s="402"/>
      <c r="F94" s="402"/>
      <c r="G94" s="402"/>
      <c r="H94" s="402"/>
      <c r="I94" s="402"/>
      <c r="J94" s="402"/>
      <c r="K94" s="402"/>
      <c r="L94" s="31">
        <f>$S$6</f>
        <v>2025</v>
      </c>
      <c r="M94" s="31"/>
      <c r="N94" s="31"/>
      <c r="O94" s="26"/>
      <c r="P94" s="26"/>
      <c r="Q94" s="26"/>
      <c r="R94" s="26"/>
      <c r="S94" s="26"/>
      <c r="T94" s="26"/>
    </row>
    <row r="95" spans="2:22" ht="15.75" thickTop="1" x14ac:dyDescent="0.25">
      <c r="B95" s="32"/>
      <c r="C95" s="286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8"/>
    </row>
    <row r="96" spans="2:22" ht="15.75" customHeight="1" x14ac:dyDescent="0.25">
      <c r="B96" s="17" t="s">
        <v>0</v>
      </c>
      <c r="C96" s="263">
        <f>G9</f>
        <v>0</v>
      </c>
      <c r="D96" s="263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263"/>
      <c r="T96" s="264"/>
    </row>
    <row r="97" spans="1:42" ht="13.5" customHeight="1" x14ac:dyDescent="0.25">
      <c r="B97" s="17" t="s">
        <v>1</v>
      </c>
      <c r="C97" s="263" t="s">
        <v>332</v>
      </c>
      <c r="D97" s="263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263"/>
      <c r="T97" s="264"/>
    </row>
    <row r="98" spans="1:42" x14ac:dyDescent="0.25">
      <c r="B98" s="18" t="s">
        <v>4</v>
      </c>
      <c r="C98" s="263">
        <v>112</v>
      </c>
      <c r="D98" s="263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263"/>
      <c r="T98" s="264"/>
    </row>
    <row r="99" spans="1:42" x14ac:dyDescent="0.25">
      <c r="B99" s="18" t="s">
        <v>49</v>
      </c>
      <c r="C99" s="263" t="s">
        <v>5</v>
      </c>
      <c r="D99" s="263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263"/>
      <c r="T99" s="264"/>
    </row>
    <row r="100" spans="1:42" ht="25.5" customHeight="1" x14ac:dyDescent="0.25">
      <c r="B100" s="18" t="s">
        <v>327</v>
      </c>
      <c r="C100" s="427" t="s">
        <v>44</v>
      </c>
      <c r="D100" s="428"/>
      <c r="E100" s="429" t="s">
        <v>38</v>
      </c>
      <c r="F100" s="430"/>
      <c r="G100" s="427" t="s">
        <v>50</v>
      </c>
      <c r="H100" s="428"/>
      <c r="I100" s="426" t="e">
        <f>C8</f>
        <v>#N/A</v>
      </c>
      <c r="J100" s="263"/>
      <c r="K100" s="263"/>
      <c r="L100" s="263"/>
      <c r="M100" s="263"/>
      <c r="N100" s="263"/>
      <c r="O100" s="263"/>
      <c r="P100" s="263"/>
      <c r="Q100" s="263"/>
      <c r="R100" s="263"/>
      <c r="S100" s="263"/>
      <c r="T100" s="264"/>
    </row>
    <row r="101" spans="1:42" ht="13.5" customHeight="1" x14ac:dyDescent="0.25">
      <c r="B101" s="18" t="s">
        <v>6</v>
      </c>
      <c r="C101" s="263" t="e">
        <f>VLOOKUP($G$9,'DATA ZDROJ MOB'!$F$4:$AH$11,15,0)</f>
        <v>#N/A</v>
      </c>
      <c r="D101" s="263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263"/>
      <c r="T101" s="264"/>
    </row>
    <row r="102" spans="1:42" ht="13.5" customHeight="1" x14ac:dyDescent="0.25">
      <c r="B102" s="18" t="s">
        <v>127</v>
      </c>
      <c r="C102" s="263" t="e">
        <f>VLOOKUP($G$9,'DATA ZDROJ MOB'!$F$4:$AH$11,16,0)</f>
        <v>#N/A</v>
      </c>
      <c r="D102" s="263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263"/>
      <c r="T102" s="264"/>
    </row>
    <row r="103" spans="1:42" ht="13.5" customHeight="1" x14ac:dyDescent="0.25">
      <c r="B103" s="17" t="s">
        <v>134</v>
      </c>
      <c r="C103" s="263" t="e">
        <f>G10</f>
        <v>#N/A</v>
      </c>
      <c r="D103" s="263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263"/>
      <c r="T103" s="264"/>
    </row>
    <row r="104" spans="1:42" s="11" customFormat="1" ht="24" customHeight="1" x14ac:dyDescent="0.2">
      <c r="A104" s="10"/>
      <c r="B104" s="325" t="s">
        <v>3</v>
      </c>
      <c r="C104" s="327" t="s">
        <v>307</v>
      </c>
      <c r="D104" s="327"/>
      <c r="E104" s="327" t="s">
        <v>308</v>
      </c>
      <c r="F104" s="327"/>
      <c r="G104" s="327" t="s">
        <v>66</v>
      </c>
      <c r="H104" s="327"/>
      <c r="I104" s="327" t="s">
        <v>75</v>
      </c>
      <c r="J104" s="327"/>
      <c r="K104" s="327" t="s">
        <v>80</v>
      </c>
      <c r="L104" s="327"/>
      <c r="M104" s="327" t="s">
        <v>76</v>
      </c>
      <c r="N104" s="327"/>
      <c r="O104" s="326" t="s">
        <v>65</v>
      </c>
      <c r="P104" s="326"/>
      <c r="Q104" s="326" t="s">
        <v>78</v>
      </c>
      <c r="R104" s="326"/>
      <c r="S104" s="326" t="s">
        <v>83</v>
      </c>
      <c r="T104" s="326"/>
      <c r="U104" s="10"/>
      <c r="AP104" s="12"/>
    </row>
    <row r="105" spans="1:42" s="11" customFormat="1" ht="11.25" customHeight="1" x14ac:dyDescent="0.2">
      <c r="A105" s="10"/>
      <c r="B105" s="325"/>
      <c r="C105" s="265" t="s">
        <v>64</v>
      </c>
      <c r="D105" s="265"/>
      <c r="E105" s="265" t="s">
        <v>77</v>
      </c>
      <c r="F105" s="265"/>
      <c r="G105" s="265"/>
      <c r="H105" s="265"/>
      <c r="I105" s="265"/>
      <c r="J105" s="265"/>
      <c r="K105" s="265"/>
      <c r="L105" s="265"/>
      <c r="M105" s="265"/>
      <c r="N105" s="265"/>
      <c r="O105" s="265" t="s">
        <v>68</v>
      </c>
      <c r="P105" s="265"/>
      <c r="Q105" s="265" t="s">
        <v>79</v>
      </c>
      <c r="R105" s="265"/>
      <c r="S105" s="265" t="s">
        <v>84</v>
      </c>
      <c r="T105" s="265"/>
      <c r="U105" s="10"/>
      <c r="AP105" s="12"/>
    </row>
    <row r="106" spans="1:42" s="11" customFormat="1" ht="11.25" customHeight="1" x14ac:dyDescent="0.2">
      <c r="A106" s="10"/>
      <c r="B106" s="325"/>
      <c r="C106" s="322">
        <f>$S$6</f>
        <v>2025</v>
      </c>
      <c r="D106" s="322"/>
      <c r="E106" s="322">
        <f>$S$6</f>
        <v>2025</v>
      </c>
      <c r="F106" s="322"/>
      <c r="G106" s="322">
        <f>$S$6</f>
        <v>2025</v>
      </c>
      <c r="H106" s="322"/>
      <c r="I106" s="320">
        <f>IF($L$94=$C$106,$L$94-1,"chyba")</f>
        <v>2024</v>
      </c>
      <c r="J106" s="321"/>
      <c r="K106" s="320">
        <f>$S$6</f>
        <v>2025</v>
      </c>
      <c r="L106" s="321"/>
      <c r="M106" s="320">
        <v>2024</v>
      </c>
      <c r="N106" s="321"/>
      <c r="O106" s="322">
        <f>$S$6</f>
        <v>2025</v>
      </c>
      <c r="P106" s="322"/>
      <c r="Q106" s="322">
        <f>$S$6</f>
        <v>2025</v>
      </c>
      <c r="R106" s="322"/>
      <c r="S106" s="475">
        <f>IF($L$94=$C$106,$L$94,"chyba")</f>
        <v>2025</v>
      </c>
      <c r="T106" s="475"/>
      <c r="U106" s="10"/>
      <c r="AP106" s="12"/>
    </row>
    <row r="107" spans="1:42" ht="21.75" customHeight="1" x14ac:dyDescent="0.25">
      <c r="B107" s="19" t="s">
        <v>13</v>
      </c>
      <c r="C107" s="527" t="e">
        <f t="shared" ref="C107:Q107" si="38">SUM(C108:C109)</f>
        <v>#N/A</v>
      </c>
      <c r="D107" s="528"/>
      <c r="E107" s="527">
        <f t="shared" si="38"/>
        <v>0</v>
      </c>
      <c r="F107" s="528"/>
      <c r="G107" s="529" t="e">
        <f t="shared" ref="G107:G108" si="39">IF((C107-E107)&lt;0,CONCATENATE("chyba, přečerpáno o ",C107-E107,",- Kč"),C107-E107)</f>
        <v>#N/A</v>
      </c>
      <c r="H107" s="529"/>
      <c r="I107" s="527" t="e">
        <f t="shared" si="38"/>
        <v>#N/A</v>
      </c>
      <c r="J107" s="528"/>
      <c r="K107" s="527">
        <f t="shared" si="38"/>
        <v>0</v>
      </c>
      <c r="L107" s="528"/>
      <c r="M107" s="529" t="e">
        <f t="shared" ref="M107:M109" si="40">IF((I107-K107)&lt;0,CONCATENATE("chyba, přečerpáno o ",I107-K107,",- Kč"),I107-K107)</f>
        <v>#N/A</v>
      </c>
      <c r="N107" s="529"/>
      <c r="O107" s="524" t="e">
        <f t="shared" si="38"/>
        <v>#N/A</v>
      </c>
      <c r="P107" s="524"/>
      <c r="Q107" s="525">
        <f t="shared" si="38"/>
        <v>0</v>
      </c>
      <c r="R107" s="525"/>
      <c r="S107" s="526" t="e">
        <f t="shared" ref="S107:S108" si="41">IF((O107-Q107)&lt;0,CONCATENATE("chyba, přečerpáno o ",O107-Q107,",- Kč"),O107-Q107)</f>
        <v>#N/A</v>
      </c>
      <c r="T107" s="526"/>
    </row>
    <row r="108" spans="1:42" ht="21.75" customHeight="1" x14ac:dyDescent="0.25">
      <c r="B108" s="20" t="s">
        <v>69</v>
      </c>
      <c r="C108" s="516" t="e">
        <f>IF(C$106=C$35,SUM(C39,C49),(IF(C$106=E$35,SUM(E39,E49),"chyba")))</f>
        <v>#N/A</v>
      </c>
      <c r="D108" s="516"/>
      <c r="E108" s="517">
        <f>IF(E106=C65,C69,(IF(E106=E65,E69,"chyba")))</f>
        <v>0</v>
      </c>
      <c r="F108" s="518"/>
      <c r="G108" s="519" t="e">
        <f t="shared" si="39"/>
        <v>#N/A</v>
      </c>
      <c r="H108" s="519"/>
      <c r="I108" s="520" t="e">
        <f>IF(I$106=I$35,SUM(I39,I49),(IF(I$106=K$35,SUM(K39,K49),"chyba")))</f>
        <v>#N/A</v>
      </c>
      <c r="J108" s="520"/>
      <c r="K108" s="520">
        <f>IF(K106=I65,I69,(IF(K106=K65,K69,"chyba")))</f>
        <v>0</v>
      </c>
      <c r="L108" s="520"/>
      <c r="M108" s="519" t="e">
        <f t="shared" si="40"/>
        <v>#N/A</v>
      </c>
      <c r="N108" s="519"/>
      <c r="O108" s="521" t="e">
        <f t="shared" ref="O108:O109" si="42">SUM(C108,I108)</f>
        <v>#N/A</v>
      </c>
      <c r="P108" s="521"/>
      <c r="Q108" s="522">
        <f t="shared" ref="Q108:Q109" si="43">SUM(E108,K108)</f>
        <v>0</v>
      </c>
      <c r="R108" s="522"/>
      <c r="S108" s="523" t="e">
        <f t="shared" si="41"/>
        <v>#N/A</v>
      </c>
      <c r="T108" s="523"/>
    </row>
    <row r="109" spans="1:42" ht="21.75" customHeight="1" x14ac:dyDescent="0.25">
      <c r="B109" s="21" t="s">
        <v>70</v>
      </c>
      <c r="C109" s="516" t="e">
        <f>IF(C$106=C$35,SUM(C40,C50),(IF(C$106=E$35,SUM(E40,E50),"chyba")))</f>
        <v>#N/A</v>
      </c>
      <c r="D109" s="516"/>
      <c r="E109" s="517">
        <f>IF(E106=C65,C70,(IF(E106=E65,E70,"chyba")))</f>
        <v>0</v>
      </c>
      <c r="F109" s="518"/>
      <c r="G109" s="519" t="e">
        <f>IF((C109-E109)&lt;0,CONCATENATE("chyba, přečerpáno o ",C109-E109,",- Kč"),C109-E109)</f>
        <v>#N/A</v>
      </c>
      <c r="H109" s="519"/>
      <c r="I109" s="520" t="e">
        <f>IF(I$106=I$35,SUM(I40,I50),(IF(I$106=K$35,SUM(K40,K50),"chyba")))</f>
        <v>#N/A</v>
      </c>
      <c r="J109" s="520"/>
      <c r="K109" s="520">
        <f>IF(K106=I65,I70,(IF(K106=K65,K70,"chyba")))</f>
        <v>0</v>
      </c>
      <c r="L109" s="520"/>
      <c r="M109" s="519" t="e">
        <f t="shared" si="40"/>
        <v>#N/A</v>
      </c>
      <c r="N109" s="519"/>
      <c r="O109" s="521" t="e">
        <f t="shared" si="42"/>
        <v>#N/A</v>
      </c>
      <c r="P109" s="521"/>
      <c r="Q109" s="522">
        <f t="shared" si="43"/>
        <v>0</v>
      </c>
      <c r="R109" s="522"/>
      <c r="S109" s="523" t="e">
        <f>IF((O109-Q109)&lt;0,CONCATENATE("chyba, přečerpáno o ",O109-Q109,",- Kč"),O109-Q109)</f>
        <v>#N/A</v>
      </c>
      <c r="T109" s="523"/>
    </row>
    <row r="110" spans="1:42" ht="21.75" customHeight="1" x14ac:dyDescent="0.25">
      <c r="B110" s="22" t="s">
        <v>2</v>
      </c>
      <c r="C110" s="513" t="e">
        <f>C107</f>
        <v>#N/A</v>
      </c>
      <c r="D110" s="513"/>
      <c r="E110" s="513">
        <f>E107</f>
        <v>0</v>
      </c>
      <c r="F110" s="513"/>
      <c r="G110" s="514" t="e">
        <f>IF((C110-E110)&lt;0,CONCATENATE("chyba, přečerpáno o ",C110-E110,",- Kč"),C110-E110)</f>
        <v>#N/A</v>
      </c>
      <c r="H110" s="514"/>
      <c r="I110" s="513" t="e">
        <f>I107</f>
        <v>#N/A</v>
      </c>
      <c r="J110" s="513"/>
      <c r="K110" s="513">
        <f>K107</f>
        <v>0</v>
      </c>
      <c r="L110" s="513"/>
      <c r="M110" s="513" t="e">
        <f>M107</f>
        <v>#N/A</v>
      </c>
      <c r="N110" s="513"/>
      <c r="O110" s="515" t="e">
        <f>O107</f>
        <v>#N/A</v>
      </c>
      <c r="P110" s="515"/>
      <c r="Q110" s="515">
        <f>Q107</f>
        <v>0</v>
      </c>
      <c r="R110" s="515"/>
      <c r="S110" s="514" t="e">
        <f>IF((O110-Q110)&lt;0,CONCATENATE("chyba, přečerpáno o ",O110-Q110,",- Kč"),O110-Q110)</f>
        <v>#N/A</v>
      </c>
      <c r="T110" s="514"/>
    </row>
    <row r="111" spans="1:42" ht="74.25" customHeight="1" x14ac:dyDescent="0.25">
      <c r="B111" s="23" t="s">
        <v>12</v>
      </c>
      <c r="C111" s="444"/>
      <c r="D111" s="444"/>
      <c r="E111" s="444"/>
      <c r="F111" s="444"/>
      <c r="G111" s="444"/>
      <c r="H111" s="444"/>
      <c r="I111" s="444"/>
      <c r="J111" s="444"/>
      <c r="K111" s="444"/>
      <c r="L111" s="444"/>
      <c r="M111" s="444"/>
      <c r="N111" s="444"/>
      <c r="O111" s="444"/>
      <c r="P111" s="444"/>
      <c r="Q111" s="444"/>
      <c r="R111" s="444"/>
      <c r="S111" s="444"/>
      <c r="T111" s="445"/>
    </row>
    <row r="112" spans="1:42" x14ac:dyDescent="0.25">
      <c r="B112" s="27"/>
      <c r="C112" s="28" t="s">
        <v>312</v>
      </c>
      <c r="D112" s="28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1:58" ht="21.75" customHeight="1" thickBot="1" x14ac:dyDescent="0.3">
      <c r="B113" s="402" t="s">
        <v>323</v>
      </c>
      <c r="C113" s="402"/>
      <c r="D113" s="402"/>
      <c r="E113" s="402"/>
      <c r="F113" s="402"/>
      <c r="G113" s="34">
        <f>$S$6</f>
        <v>2025</v>
      </c>
      <c r="H113" s="511" t="s">
        <v>551</v>
      </c>
      <c r="I113" s="512"/>
      <c r="J113" s="512"/>
      <c r="K113" s="512"/>
      <c r="L113" s="512"/>
      <c r="M113" s="512"/>
      <c r="N113" s="512"/>
      <c r="O113" s="512"/>
      <c r="P113" s="30">
        <f>$S$6+1</f>
        <v>2026</v>
      </c>
      <c r="Q113" s="26"/>
      <c r="R113" s="26"/>
      <c r="S113" s="455"/>
      <c r="T113" s="455"/>
    </row>
    <row r="114" spans="1:58" s="11" customFormat="1" ht="37.5" customHeight="1" thickTop="1" x14ac:dyDescent="0.2">
      <c r="A114" s="10"/>
      <c r="B114" s="54" t="s">
        <v>82</v>
      </c>
      <c r="C114" s="440" t="s">
        <v>517</v>
      </c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1"/>
      <c r="O114" s="441"/>
      <c r="P114" s="441"/>
      <c r="Q114" s="441"/>
      <c r="R114" s="441"/>
      <c r="S114" s="441"/>
      <c r="T114" s="442"/>
      <c r="U114" s="10"/>
      <c r="AP114" s="12"/>
    </row>
    <row r="115" spans="1:58" ht="27" customHeight="1" x14ac:dyDescent="0.25">
      <c r="B115" s="40" t="s">
        <v>310</v>
      </c>
      <c r="C115" s="443"/>
      <c r="D115" s="443"/>
      <c r="E115" s="443"/>
      <c r="F115" s="443"/>
      <c r="G115" s="443"/>
      <c r="H115" s="443"/>
      <c r="I115" s="443"/>
      <c r="J115" s="443"/>
      <c r="K115" s="443"/>
      <c r="L115" s="443"/>
      <c r="M115" s="443"/>
      <c r="N115" s="443"/>
      <c r="O115" s="443"/>
      <c r="P115" s="443"/>
      <c r="Q115" s="443"/>
      <c r="R115" s="443"/>
      <c r="S115" s="443"/>
      <c r="T115" s="443"/>
    </row>
    <row r="116" spans="1:58" ht="13.5" customHeight="1" x14ac:dyDescent="0.25">
      <c r="B116" s="41" t="s">
        <v>16</v>
      </c>
      <c r="C116" s="434" t="s">
        <v>309</v>
      </c>
      <c r="D116" s="435"/>
      <c r="E116" s="414">
        <f>$S$6</f>
        <v>2025</v>
      </c>
      <c r="F116" s="414"/>
      <c r="G116" s="414"/>
      <c r="H116" s="439"/>
      <c r="I116" s="415" t="s">
        <v>81</v>
      </c>
      <c r="J116" s="416"/>
      <c r="K116" s="416"/>
      <c r="L116" s="416"/>
      <c r="M116" s="414">
        <f>E116-1</f>
        <v>2024</v>
      </c>
      <c r="N116" s="406"/>
      <c r="O116" s="404" t="s">
        <v>55</v>
      </c>
      <c r="P116" s="405"/>
      <c r="Q116" s="405"/>
      <c r="R116" s="405"/>
      <c r="S116" s="405"/>
      <c r="T116" s="406"/>
      <c r="V116" s="48"/>
      <c r="W116" s="48"/>
      <c r="X116" s="48"/>
    </row>
    <row r="117" spans="1:58" ht="24" customHeight="1" x14ac:dyDescent="0.25">
      <c r="B117" s="39" t="s">
        <v>13</v>
      </c>
      <c r="C117" s="452">
        <f>SUM(C118:G119)</f>
        <v>0</v>
      </c>
      <c r="D117" s="453"/>
      <c r="E117" s="453"/>
      <c r="F117" s="453"/>
      <c r="G117" s="453"/>
      <c r="H117" s="454"/>
      <c r="I117" s="452">
        <f>SUM(I118:M119)</f>
        <v>0</v>
      </c>
      <c r="J117" s="453"/>
      <c r="K117" s="453"/>
      <c r="L117" s="453"/>
      <c r="M117" s="453"/>
      <c r="N117" s="454"/>
      <c r="O117" s="452">
        <f>SUM(O118:S119)</f>
        <v>0</v>
      </c>
      <c r="P117" s="453"/>
      <c r="Q117" s="453"/>
      <c r="R117" s="453"/>
      <c r="S117" s="453"/>
      <c r="T117" s="454"/>
      <c r="V117" s="49"/>
      <c r="W117" s="49"/>
      <c r="X117" s="49"/>
    </row>
    <row r="118" spans="1:58" ht="24" customHeight="1" x14ac:dyDescent="0.25">
      <c r="B118" s="42" t="s">
        <v>15</v>
      </c>
      <c r="C118" s="259"/>
      <c r="D118" s="448"/>
      <c r="E118" s="448"/>
      <c r="F118" s="448"/>
      <c r="G118" s="448"/>
      <c r="H118" s="260"/>
      <c r="I118" s="259"/>
      <c r="J118" s="448"/>
      <c r="K118" s="448"/>
      <c r="L118" s="448"/>
      <c r="M118" s="448"/>
      <c r="N118" s="260"/>
      <c r="O118" s="452">
        <f>SUM(C118:M118)</f>
        <v>0</v>
      </c>
      <c r="P118" s="453"/>
      <c r="Q118" s="453"/>
      <c r="R118" s="453"/>
      <c r="S118" s="453"/>
      <c r="T118" s="454"/>
      <c r="V118" s="49"/>
      <c r="W118" s="49"/>
      <c r="X118" s="49"/>
    </row>
    <row r="119" spans="1:58" ht="24" customHeight="1" x14ac:dyDescent="0.25">
      <c r="B119" s="43" t="s">
        <v>14</v>
      </c>
      <c r="C119" s="259"/>
      <c r="D119" s="448"/>
      <c r="E119" s="448"/>
      <c r="F119" s="448"/>
      <c r="G119" s="448"/>
      <c r="H119" s="260"/>
      <c r="I119" s="259"/>
      <c r="J119" s="448"/>
      <c r="K119" s="448"/>
      <c r="L119" s="448"/>
      <c r="M119" s="448"/>
      <c r="N119" s="260"/>
      <c r="O119" s="452">
        <f>SUM(C119:M119)</f>
        <v>0</v>
      </c>
      <c r="P119" s="453"/>
      <c r="Q119" s="453"/>
      <c r="R119" s="453"/>
      <c r="S119" s="453"/>
      <c r="T119" s="454"/>
      <c r="V119" s="49"/>
      <c r="W119" s="49"/>
      <c r="X119" s="49"/>
    </row>
    <row r="120" spans="1:58" ht="24" customHeight="1" x14ac:dyDescent="0.25">
      <c r="B120" s="44" t="s">
        <v>2</v>
      </c>
      <c r="C120" s="449">
        <f>C117</f>
        <v>0</v>
      </c>
      <c r="D120" s="450"/>
      <c r="E120" s="450"/>
      <c r="F120" s="450"/>
      <c r="G120" s="450"/>
      <c r="H120" s="451"/>
      <c r="I120" s="449">
        <f>I117</f>
        <v>0</v>
      </c>
      <c r="J120" s="450"/>
      <c r="K120" s="450"/>
      <c r="L120" s="450"/>
      <c r="M120" s="450"/>
      <c r="N120" s="451"/>
      <c r="O120" s="449">
        <f>O117</f>
        <v>0</v>
      </c>
      <c r="P120" s="450"/>
      <c r="Q120" s="450"/>
      <c r="R120" s="450"/>
      <c r="S120" s="450"/>
      <c r="T120" s="451"/>
      <c r="V120" s="49"/>
      <c r="W120" s="49"/>
      <c r="X120" s="49"/>
    </row>
    <row r="121" spans="1:58" ht="74.25" customHeight="1" x14ac:dyDescent="0.25">
      <c r="B121" s="45" t="s">
        <v>17</v>
      </c>
      <c r="C121" s="444"/>
      <c r="D121" s="444"/>
      <c r="E121" s="444"/>
      <c r="F121" s="444"/>
      <c r="G121" s="444"/>
      <c r="H121" s="444"/>
      <c r="I121" s="444"/>
      <c r="J121" s="444"/>
      <c r="K121" s="444"/>
      <c r="L121" s="444"/>
      <c r="M121" s="444"/>
      <c r="N121" s="444"/>
      <c r="O121" s="444"/>
      <c r="P121" s="444"/>
      <c r="Q121" s="444"/>
      <c r="R121" s="444"/>
      <c r="S121" s="444"/>
      <c r="T121" s="444"/>
      <c r="V121" s="48"/>
      <c r="W121" s="48"/>
      <c r="X121" s="48"/>
    </row>
    <row r="122" spans="1:58" s="46" customFormat="1" ht="27" customHeight="1" x14ac:dyDescent="0.2">
      <c r="A122" s="5"/>
      <c r="B122" s="446" t="s">
        <v>311</v>
      </c>
      <c r="C122" s="446"/>
      <c r="D122" s="446"/>
      <c r="E122" s="446"/>
      <c r="F122" s="446"/>
      <c r="G122" s="446"/>
      <c r="H122" s="446"/>
      <c r="I122" s="446"/>
      <c r="J122" s="446"/>
      <c r="K122" s="446"/>
      <c r="L122" s="446"/>
      <c r="M122" s="446"/>
      <c r="N122" s="446"/>
      <c r="O122" s="446"/>
      <c r="P122" s="446"/>
      <c r="Q122" s="446"/>
      <c r="R122" s="446"/>
      <c r="S122" s="446"/>
      <c r="T122" s="446"/>
      <c r="U122" s="5"/>
      <c r="AP122" s="47"/>
    </row>
    <row r="123" spans="1:58" ht="15" x14ac:dyDescent="0.25">
      <c r="B123" s="335" t="s">
        <v>52</v>
      </c>
      <c r="C123" s="335"/>
      <c r="D123" s="335"/>
      <c r="E123" s="335"/>
      <c r="F123" s="335"/>
      <c r="G123" s="335"/>
      <c r="H123" s="335"/>
      <c r="I123" s="335"/>
      <c r="J123" s="335"/>
      <c r="K123" s="335"/>
      <c r="L123" s="335"/>
      <c r="M123" s="335"/>
      <c r="N123" s="335"/>
      <c r="O123" s="335"/>
      <c r="P123" s="335"/>
      <c r="Q123" s="335"/>
      <c r="R123" s="335"/>
      <c r="S123" s="335"/>
      <c r="T123" s="335"/>
    </row>
    <row r="124" spans="1:58" ht="13.5" customHeight="1" thickTop="1" x14ac:dyDescent="0.25">
      <c r="B124" s="32"/>
      <c r="C124" s="286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8"/>
    </row>
    <row r="125" spans="1:58" ht="18.75" x14ac:dyDescent="0.25">
      <c r="B125" s="24">
        <v>1</v>
      </c>
      <c r="C125" s="279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  <c r="O125" s="279"/>
      <c r="P125" s="279"/>
      <c r="Q125" s="279"/>
      <c r="R125" s="279"/>
      <c r="S125" s="279"/>
      <c r="T125" s="280"/>
    </row>
    <row r="126" spans="1:58" ht="18.75" x14ac:dyDescent="0.25">
      <c r="B126" s="24">
        <v>2</v>
      </c>
      <c r="C126" s="279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  <c r="O126" s="279"/>
      <c r="P126" s="279"/>
      <c r="Q126" s="279"/>
      <c r="R126" s="279"/>
      <c r="S126" s="279"/>
      <c r="T126" s="280"/>
    </row>
    <row r="127" spans="1:58" s="2" customFormat="1" ht="18.75" x14ac:dyDescent="0.25">
      <c r="B127" s="24">
        <v>3</v>
      </c>
      <c r="C127" s="508"/>
      <c r="D127" s="508"/>
      <c r="E127" s="508"/>
      <c r="F127" s="508"/>
      <c r="G127" s="508"/>
      <c r="H127" s="508"/>
      <c r="I127" s="508"/>
      <c r="J127" s="508"/>
      <c r="K127" s="508"/>
      <c r="L127" s="508"/>
      <c r="M127" s="508"/>
      <c r="N127" s="508"/>
      <c r="O127" s="508"/>
      <c r="P127" s="508"/>
      <c r="Q127" s="508"/>
      <c r="R127" s="508"/>
      <c r="S127" s="508"/>
      <c r="T127" s="509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6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2" customFormat="1" x14ac:dyDescent="0.25">
      <c r="B128" s="5"/>
      <c r="C128" s="458"/>
      <c r="D128" s="458"/>
      <c r="E128" s="458"/>
      <c r="F128" s="458"/>
      <c r="G128" s="458"/>
      <c r="H128" s="458"/>
      <c r="I128" s="458"/>
      <c r="J128" s="458"/>
      <c r="K128" s="458"/>
      <c r="L128" s="458"/>
      <c r="M128" s="458"/>
      <c r="N128" s="458"/>
      <c r="O128" s="458"/>
      <c r="P128" s="458"/>
      <c r="Q128" s="458"/>
      <c r="R128" s="458"/>
      <c r="S128" s="458"/>
      <c r="T128" s="458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6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</row>
    <row r="129" spans="2:58" s="2" customFormat="1" x14ac:dyDescent="0.25">
      <c r="B129" s="465" t="s">
        <v>342</v>
      </c>
      <c r="C129" s="465"/>
      <c r="D129" s="465"/>
      <c r="E129" s="465"/>
      <c r="F129" s="465"/>
      <c r="G129" s="398"/>
      <c r="H129" s="462" t="s">
        <v>11</v>
      </c>
      <c r="I129" s="462"/>
      <c r="J129" s="462"/>
      <c r="K129" s="462"/>
      <c r="L129" s="462"/>
      <c r="M129" s="464" t="s">
        <v>10</v>
      </c>
      <c r="N129" s="465"/>
      <c r="O129" s="465"/>
      <c r="P129" s="465"/>
      <c r="Q129" s="465"/>
      <c r="R129" s="465"/>
      <c r="S129" s="465"/>
      <c r="T129" s="465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6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</row>
    <row r="130" spans="2:58" s="2" customFormat="1" ht="34.5" customHeight="1" x14ac:dyDescent="0.25">
      <c r="B130" s="396" t="e">
        <f>G10</f>
        <v>#N/A</v>
      </c>
      <c r="C130" s="396"/>
      <c r="D130" s="396"/>
      <c r="E130" s="396"/>
      <c r="F130" s="396"/>
      <c r="G130" s="397"/>
      <c r="H130" s="463"/>
      <c r="I130" s="463"/>
      <c r="J130" s="463"/>
      <c r="K130" s="463"/>
      <c r="L130" s="463"/>
      <c r="M130" s="466"/>
      <c r="N130" s="467"/>
      <c r="O130" s="467"/>
      <c r="P130" s="467"/>
      <c r="Q130" s="467"/>
      <c r="R130" s="467"/>
      <c r="S130" s="467"/>
      <c r="T130" s="467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6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</row>
    <row r="131" spans="2:58" s="2" customFormat="1" x14ac:dyDescent="0.25">
      <c r="B131" s="465" t="s">
        <v>9</v>
      </c>
      <c r="C131" s="465"/>
      <c r="D131" s="465"/>
      <c r="E131" s="465"/>
      <c r="F131" s="465"/>
      <c r="G131" s="398"/>
      <c r="H131" s="462" t="s">
        <v>11</v>
      </c>
      <c r="I131" s="462"/>
      <c r="J131" s="462"/>
      <c r="K131" s="462"/>
      <c r="L131" s="462"/>
      <c r="M131" s="464" t="s">
        <v>10</v>
      </c>
      <c r="N131" s="465"/>
      <c r="O131" s="465"/>
      <c r="P131" s="465"/>
      <c r="Q131" s="465"/>
      <c r="R131" s="465"/>
      <c r="S131" s="465"/>
      <c r="T131" s="465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6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</row>
    <row r="132" spans="2:58" s="2" customFormat="1" ht="34.5" customHeight="1" x14ac:dyDescent="0.25">
      <c r="B132" s="510"/>
      <c r="C132" s="510"/>
      <c r="D132" s="510"/>
      <c r="E132" s="510"/>
      <c r="F132" s="510"/>
      <c r="G132" s="470"/>
      <c r="H132" s="463"/>
      <c r="I132" s="463"/>
      <c r="J132" s="463"/>
      <c r="K132" s="463"/>
      <c r="L132" s="463"/>
      <c r="M132" s="468"/>
      <c r="N132" s="469"/>
      <c r="O132" s="469"/>
      <c r="P132" s="469"/>
      <c r="Q132" s="469"/>
      <c r="R132" s="469"/>
      <c r="S132" s="469"/>
      <c r="T132" s="469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6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</row>
    <row r="133" spans="2:58" s="2" customFormat="1" x14ac:dyDescent="0.25">
      <c r="B133" s="400" t="s">
        <v>545</v>
      </c>
      <c r="C133" s="400"/>
      <c r="D133" s="400"/>
      <c r="E133" s="400"/>
      <c r="F133" s="400"/>
      <c r="G133" s="400"/>
      <c r="H133" s="36"/>
      <c r="I133" s="401"/>
      <c r="J133" s="401"/>
      <c r="K133" s="401"/>
      <c r="L133" s="37"/>
      <c r="M133" s="401"/>
      <c r="N133" s="401"/>
      <c r="O133" s="401"/>
      <c r="P133" s="401"/>
      <c r="Q133" s="401"/>
      <c r="R133" s="401"/>
      <c r="S133" s="401"/>
      <c r="T133" s="13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6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</row>
    <row r="134" spans="2:58" s="2" customFormat="1" ht="15" customHeight="1" x14ac:dyDescent="0.2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6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</row>
    <row r="135" spans="2:58" s="2" customFormat="1" ht="15" customHeight="1" x14ac:dyDescent="0.2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6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2:58" s="2" customFormat="1" ht="15" customHeight="1" x14ac:dyDescent="0.2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6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2:58" s="2" customFormat="1" ht="15" customHeight="1" x14ac:dyDescent="0.2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6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2:58" s="2" customFormat="1" ht="15" customHeight="1" x14ac:dyDescent="0.2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6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</row>
    <row r="139" spans="2:58" s="2" customFormat="1" ht="15" customHeight="1" x14ac:dyDescent="0.2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6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</row>
    <row r="140" spans="2:58" s="2" customFormat="1" ht="15" customHeight="1" x14ac:dyDescent="0.2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6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2:58" s="2" customFormat="1" ht="15" customHeight="1" x14ac:dyDescent="0.2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6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</row>
    <row r="142" spans="2:58" s="2" customFormat="1" ht="15" customHeight="1" x14ac:dyDescent="0.2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6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2:58" s="2" customFormat="1" ht="15" customHeight="1" x14ac:dyDescent="0.2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6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2:58" s="2" customFormat="1" ht="15" customHeight="1" x14ac:dyDescent="0.2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6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</row>
    <row r="145" spans="2:58" s="2" customFormat="1" ht="15" customHeight="1" x14ac:dyDescent="0.2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6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2:58" s="2" customFormat="1" ht="15" customHeight="1" x14ac:dyDescent="0.2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6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2:58" s="2" customFormat="1" ht="15" customHeight="1" x14ac:dyDescent="0.2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6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</row>
    <row r="148" spans="2:58" s="2" customFormat="1" ht="15" customHeight="1" x14ac:dyDescent="0.2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6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2:58" s="2" customFormat="1" ht="15" customHeight="1" x14ac:dyDescent="0.2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6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2:58" s="2" customFormat="1" ht="15" customHeight="1" x14ac:dyDescent="0.2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6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2:58" s="2" customFormat="1" ht="15" customHeight="1" x14ac:dyDescent="0.2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6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</row>
    <row r="152" spans="2:58" s="2" customFormat="1" ht="15" customHeight="1" x14ac:dyDescent="0.2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6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</row>
    <row r="153" spans="2:58" s="2" customFormat="1" ht="15" customHeight="1" x14ac:dyDescent="0.2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6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2:58" s="2" customFormat="1" ht="15" customHeight="1" x14ac:dyDescent="0.2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6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</row>
    <row r="155" spans="2:58" s="2" customFormat="1" ht="15" customHeight="1" x14ac:dyDescent="0.2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6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</row>
    <row r="156" spans="2:58" s="2" customFormat="1" ht="15" customHeight="1" x14ac:dyDescent="0.2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6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2:58" s="2" customFormat="1" ht="15" customHeight="1" x14ac:dyDescent="0.2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6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2:58" s="2" customFormat="1" ht="15" customHeight="1" x14ac:dyDescent="0.2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6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2:58" s="2" customFormat="1" ht="15" customHeight="1" x14ac:dyDescent="0.2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6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2:58" s="2" customFormat="1" ht="15" customHeight="1" x14ac:dyDescent="0.2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6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</row>
    <row r="161" spans="2:58" s="2" customFormat="1" ht="15" customHeight="1" x14ac:dyDescent="0.2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6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</row>
    <row r="162" spans="2:58" s="2" customFormat="1" ht="15" customHeight="1" x14ac:dyDescent="0.2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6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</row>
  </sheetData>
  <sheetProtection algorithmName="SHA-512" hashValue="Ea5SYBPgb2GKOV7dqscM9PhZeF9IggugCBQBY9SLgVMokybjh3xdSVlWsM/gY+7PwdDZZbmyUeOyHmHaO65QXA==" saltValue="9d1A0vC5LMGVmw8bwfHHmw==" spinCount="100000" sheet="1" selectLockedCells="1"/>
  <mergeCells count="489">
    <mergeCell ref="O74:T75"/>
    <mergeCell ref="O54:T58"/>
    <mergeCell ref="O64:T68"/>
    <mergeCell ref="B84:J84"/>
    <mergeCell ref="L84:T84"/>
    <mergeCell ref="B85:J85"/>
    <mergeCell ref="L85:T85"/>
    <mergeCell ref="B86:J86"/>
    <mergeCell ref="L86:T86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C80:D80"/>
    <mergeCell ref="E80:F80"/>
    <mergeCell ref="G80:H80"/>
    <mergeCell ref="I80:J80"/>
    <mergeCell ref="K80:L80"/>
    <mergeCell ref="M80:N80"/>
    <mergeCell ref="O80:P80"/>
    <mergeCell ref="Q80:R80"/>
    <mergeCell ref="S80:T80"/>
    <mergeCell ref="C79:D79"/>
    <mergeCell ref="E79:F79"/>
    <mergeCell ref="G79:H79"/>
    <mergeCell ref="I79:J79"/>
    <mergeCell ref="K79:L79"/>
    <mergeCell ref="M79:N79"/>
    <mergeCell ref="O79:P79"/>
    <mergeCell ref="Q79:R79"/>
    <mergeCell ref="S79:T79"/>
    <mergeCell ref="K77:L77"/>
    <mergeCell ref="M77:N77"/>
    <mergeCell ref="O77:P77"/>
    <mergeCell ref="Q77:R77"/>
    <mergeCell ref="S77:T77"/>
    <mergeCell ref="C78:D78"/>
    <mergeCell ref="E78:F78"/>
    <mergeCell ref="G78:H78"/>
    <mergeCell ref="I78:J78"/>
    <mergeCell ref="K78:L78"/>
    <mergeCell ref="M78:N78"/>
    <mergeCell ref="O78:P78"/>
    <mergeCell ref="Q78:R78"/>
    <mergeCell ref="S78:T78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C60:D60"/>
    <mergeCell ref="E60:F60"/>
    <mergeCell ref="G60:H60"/>
    <mergeCell ref="I60:J60"/>
    <mergeCell ref="K60:L60"/>
    <mergeCell ref="M60:N60"/>
    <mergeCell ref="O60:P60"/>
    <mergeCell ref="Q60:R60"/>
    <mergeCell ref="S60:T60"/>
    <mergeCell ref="C59:D59"/>
    <mergeCell ref="E59:F59"/>
    <mergeCell ref="G59:H59"/>
    <mergeCell ref="I59:J59"/>
    <mergeCell ref="K59:L59"/>
    <mergeCell ref="M59:N59"/>
    <mergeCell ref="O59:P59"/>
    <mergeCell ref="Q59:R59"/>
    <mergeCell ref="S59:T59"/>
    <mergeCell ref="M55:N55"/>
    <mergeCell ref="C56:D56"/>
    <mergeCell ref="E56:F56"/>
    <mergeCell ref="G56:H56"/>
    <mergeCell ref="I56:J56"/>
    <mergeCell ref="K56:L56"/>
    <mergeCell ref="M56:N56"/>
    <mergeCell ref="C58:D58"/>
    <mergeCell ref="E58:F58"/>
    <mergeCell ref="G58:H58"/>
    <mergeCell ref="I58:J58"/>
    <mergeCell ref="K58:L58"/>
    <mergeCell ref="M58:N58"/>
    <mergeCell ref="C57:D57"/>
    <mergeCell ref="E57:F57"/>
    <mergeCell ref="G57:H57"/>
    <mergeCell ref="I57:J57"/>
    <mergeCell ref="K57:L57"/>
    <mergeCell ref="M57:N57"/>
    <mergeCell ref="E4:F4"/>
    <mergeCell ref="G4:T4"/>
    <mergeCell ref="B5:S5"/>
    <mergeCell ref="C6:F6"/>
    <mergeCell ref="J6:N6"/>
    <mergeCell ref="O6:R6"/>
    <mergeCell ref="S6:T6"/>
    <mergeCell ref="B1:S1"/>
    <mergeCell ref="B2:G2"/>
    <mergeCell ref="M2:O2"/>
    <mergeCell ref="B3:G3"/>
    <mergeCell ref="B10:B11"/>
    <mergeCell ref="C10:F10"/>
    <mergeCell ref="G10:T10"/>
    <mergeCell ref="C11:F11"/>
    <mergeCell ref="G11:T11"/>
    <mergeCell ref="B7:T7"/>
    <mergeCell ref="C8:T8"/>
    <mergeCell ref="B9:F9"/>
    <mergeCell ref="G9:I9"/>
    <mergeCell ref="J9:T9"/>
    <mergeCell ref="O25:T25"/>
    <mergeCell ref="S12:T12"/>
    <mergeCell ref="B13:T13"/>
    <mergeCell ref="B14:B17"/>
    <mergeCell ref="C14:T14"/>
    <mergeCell ref="C15:T17"/>
    <mergeCell ref="B18:B25"/>
    <mergeCell ref="C18:T18"/>
    <mergeCell ref="D19:G19"/>
    <mergeCell ref="M19:N19"/>
    <mergeCell ref="D20:G20"/>
    <mergeCell ref="O22:T22"/>
    <mergeCell ref="O23:T23"/>
    <mergeCell ref="O24:T24"/>
    <mergeCell ref="K20:L20"/>
    <mergeCell ref="K22:L22"/>
    <mergeCell ref="K23:L23"/>
    <mergeCell ref="K24:L24"/>
    <mergeCell ref="K25:L25"/>
    <mergeCell ref="K19:L19"/>
    <mergeCell ref="O19:T19"/>
    <mergeCell ref="M20:N20"/>
    <mergeCell ref="O20:T20"/>
    <mergeCell ref="D21:G21"/>
    <mergeCell ref="E35:F35"/>
    <mergeCell ref="G35:H35"/>
    <mergeCell ref="I35:J35"/>
    <mergeCell ref="K35:L35"/>
    <mergeCell ref="M35:N35"/>
    <mergeCell ref="B34:B35"/>
    <mergeCell ref="C34:H34"/>
    <mergeCell ref="I34:N34"/>
    <mergeCell ref="C35:D35"/>
    <mergeCell ref="O34:T40"/>
    <mergeCell ref="C37:D37"/>
    <mergeCell ref="E37:F37"/>
    <mergeCell ref="G37:H37"/>
    <mergeCell ref="I37:J37"/>
    <mergeCell ref="K37:L37"/>
    <mergeCell ref="M37:N37"/>
    <mergeCell ref="C36:D36"/>
    <mergeCell ref="E36:F36"/>
    <mergeCell ref="G36:H36"/>
    <mergeCell ref="I36:J36"/>
    <mergeCell ref="K36:L36"/>
    <mergeCell ref="M36:N36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8:N38"/>
    <mergeCell ref="C40:D40"/>
    <mergeCell ref="E40:F40"/>
    <mergeCell ref="G40:H40"/>
    <mergeCell ref="I40:J40"/>
    <mergeCell ref="K40:L40"/>
    <mergeCell ref="M40:N40"/>
    <mergeCell ref="C41:D41"/>
    <mergeCell ref="E41:F41"/>
    <mergeCell ref="G41:H41"/>
    <mergeCell ref="I41:J41"/>
    <mergeCell ref="K41:L41"/>
    <mergeCell ref="M41:N41"/>
    <mergeCell ref="O41:P41"/>
    <mergeCell ref="Q41:R41"/>
    <mergeCell ref="S41:T41"/>
    <mergeCell ref="B43:L43"/>
    <mergeCell ref="M43:T43"/>
    <mergeCell ref="B44:B45"/>
    <mergeCell ref="C44:H44"/>
    <mergeCell ref="I44:N44"/>
    <mergeCell ref="C45:D45"/>
    <mergeCell ref="E45:F45"/>
    <mergeCell ref="G45:H45"/>
    <mergeCell ref="I45:J45"/>
    <mergeCell ref="K45:L45"/>
    <mergeCell ref="M45:N45"/>
    <mergeCell ref="O44:T48"/>
    <mergeCell ref="C46:D46"/>
    <mergeCell ref="E46:F46"/>
    <mergeCell ref="G46:H46"/>
    <mergeCell ref="I46:J46"/>
    <mergeCell ref="K46:L46"/>
    <mergeCell ref="M46:N46"/>
    <mergeCell ref="C47:D47"/>
    <mergeCell ref="E47:F47"/>
    <mergeCell ref="G47:H47"/>
    <mergeCell ref="I47:J47"/>
    <mergeCell ref="K47:L47"/>
    <mergeCell ref="M47:N47"/>
    <mergeCell ref="C48:D48"/>
    <mergeCell ref="E48:F48"/>
    <mergeCell ref="G48:H48"/>
    <mergeCell ref="I48:J48"/>
    <mergeCell ref="K48:L48"/>
    <mergeCell ref="M48:N48"/>
    <mergeCell ref="C49:D49"/>
    <mergeCell ref="E49:F49"/>
    <mergeCell ref="G49:H49"/>
    <mergeCell ref="I49:J49"/>
    <mergeCell ref="K49:L49"/>
    <mergeCell ref="M49:N49"/>
    <mergeCell ref="O49:P49"/>
    <mergeCell ref="Q49:R49"/>
    <mergeCell ref="S49:T49"/>
    <mergeCell ref="C50:D50"/>
    <mergeCell ref="E50:F50"/>
    <mergeCell ref="G50:H50"/>
    <mergeCell ref="I50:J50"/>
    <mergeCell ref="K50:L50"/>
    <mergeCell ref="M50:N50"/>
    <mergeCell ref="O50:P50"/>
    <mergeCell ref="Q50:R50"/>
    <mergeCell ref="S50:T50"/>
    <mergeCell ref="O51:P51"/>
    <mergeCell ref="Q51:R51"/>
    <mergeCell ref="S51:T51"/>
    <mergeCell ref="B63:T63"/>
    <mergeCell ref="B64:B65"/>
    <mergeCell ref="C64:H64"/>
    <mergeCell ref="I64:N64"/>
    <mergeCell ref="C65:D65"/>
    <mergeCell ref="E65:F65"/>
    <mergeCell ref="C51:D51"/>
    <mergeCell ref="E51:F51"/>
    <mergeCell ref="G51:H51"/>
    <mergeCell ref="I51:J51"/>
    <mergeCell ref="K51:L51"/>
    <mergeCell ref="M51:N51"/>
    <mergeCell ref="B53:T53"/>
    <mergeCell ref="B54:B55"/>
    <mergeCell ref="C54:H54"/>
    <mergeCell ref="I54:N54"/>
    <mergeCell ref="C55:D55"/>
    <mergeCell ref="E55:F55"/>
    <mergeCell ref="G55:H55"/>
    <mergeCell ref="I55:J55"/>
    <mergeCell ref="K55:L55"/>
    <mergeCell ref="C66:D66"/>
    <mergeCell ref="E66:F66"/>
    <mergeCell ref="G66:H66"/>
    <mergeCell ref="I66:J66"/>
    <mergeCell ref="K66:L66"/>
    <mergeCell ref="M66:N66"/>
    <mergeCell ref="G65:H65"/>
    <mergeCell ref="I65:J65"/>
    <mergeCell ref="K65:L65"/>
    <mergeCell ref="M65:N65"/>
    <mergeCell ref="C68:D68"/>
    <mergeCell ref="E68:F68"/>
    <mergeCell ref="G68:H68"/>
    <mergeCell ref="I68:J68"/>
    <mergeCell ref="K68:L68"/>
    <mergeCell ref="M68:N68"/>
    <mergeCell ref="C67:D67"/>
    <mergeCell ref="E67:F67"/>
    <mergeCell ref="G67:H67"/>
    <mergeCell ref="I67:J67"/>
    <mergeCell ref="K67:L67"/>
    <mergeCell ref="M67:N67"/>
    <mergeCell ref="C69:D69"/>
    <mergeCell ref="E69:F69"/>
    <mergeCell ref="G69:H69"/>
    <mergeCell ref="I69:J69"/>
    <mergeCell ref="K69:L69"/>
    <mergeCell ref="M69:N69"/>
    <mergeCell ref="O69:P69"/>
    <mergeCell ref="Q69:R69"/>
    <mergeCell ref="S69:T69"/>
    <mergeCell ref="C70:D70"/>
    <mergeCell ref="E70:F70"/>
    <mergeCell ref="G70:H70"/>
    <mergeCell ref="I70:J70"/>
    <mergeCell ref="K70:L70"/>
    <mergeCell ref="M70:N70"/>
    <mergeCell ref="O70:P70"/>
    <mergeCell ref="Q70:R70"/>
    <mergeCell ref="S70:T70"/>
    <mergeCell ref="O71:P71"/>
    <mergeCell ref="Q71:R71"/>
    <mergeCell ref="S71:T71"/>
    <mergeCell ref="C71:D71"/>
    <mergeCell ref="E71:F71"/>
    <mergeCell ref="G71:H71"/>
    <mergeCell ref="I71:J71"/>
    <mergeCell ref="K71:L71"/>
    <mergeCell ref="M71:N71"/>
    <mergeCell ref="B73:T73"/>
    <mergeCell ref="B74:B75"/>
    <mergeCell ref="C74:H74"/>
    <mergeCell ref="I74:N74"/>
    <mergeCell ref="C75:D75"/>
    <mergeCell ref="E75:F75"/>
    <mergeCell ref="G75:H75"/>
    <mergeCell ref="B88:T88"/>
    <mergeCell ref="I75:J75"/>
    <mergeCell ref="K75:L75"/>
    <mergeCell ref="M75:N75"/>
    <mergeCell ref="C76:D76"/>
    <mergeCell ref="E76:F76"/>
    <mergeCell ref="G76:H76"/>
    <mergeCell ref="I76:J76"/>
    <mergeCell ref="K76:L76"/>
    <mergeCell ref="M76:N76"/>
    <mergeCell ref="O76:P76"/>
    <mergeCell ref="Q76:R76"/>
    <mergeCell ref="S76:T76"/>
    <mergeCell ref="C77:D77"/>
    <mergeCell ref="E77:F77"/>
    <mergeCell ref="G77:H77"/>
    <mergeCell ref="I77:J77"/>
    <mergeCell ref="C89:T89"/>
    <mergeCell ref="C90:T90"/>
    <mergeCell ref="C91:T91"/>
    <mergeCell ref="C92:T92"/>
    <mergeCell ref="B94:K94"/>
    <mergeCell ref="C95:T95"/>
    <mergeCell ref="C96:T96"/>
    <mergeCell ref="C97:T97"/>
    <mergeCell ref="C98:T98"/>
    <mergeCell ref="C99:T99"/>
    <mergeCell ref="C100:D100"/>
    <mergeCell ref="E100:F100"/>
    <mergeCell ref="G100:H100"/>
    <mergeCell ref="I100:T100"/>
    <mergeCell ref="C101:T101"/>
    <mergeCell ref="C102:T102"/>
    <mergeCell ref="C103:T103"/>
    <mergeCell ref="B104:B106"/>
    <mergeCell ref="C104:D104"/>
    <mergeCell ref="E104:F104"/>
    <mergeCell ref="G104:H104"/>
    <mergeCell ref="I104:J104"/>
    <mergeCell ref="K104:L104"/>
    <mergeCell ref="M104:N104"/>
    <mergeCell ref="O104:P104"/>
    <mergeCell ref="Q104:R104"/>
    <mergeCell ref="S104:T104"/>
    <mergeCell ref="C105:D105"/>
    <mergeCell ref="E105:F105"/>
    <mergeCell ref="G105:H105"/>
    <mergeCell ref="I105:J105"/>
    <mergeCell ref="K105:L105"/>
    <mergeCell ref="M105:N105"/>
    <mergeCell ref="O105:P105"/>
    <mergeCell ref="Q105:R105"/>
    <mergeCell ref="S105:T105"/>
    <mergeCell ref="C106:D106"/>
    <mergeCell ref="E106:F106"/>
    <mergeCell ref="G106:H106"/>
    <mergeCell ref="I106:J106"/>
    <mergeCell ref="K106:L106"/>
    <mergeCell ref="M106:N106"/>
    <mergeCell ref="O106:P106"/>
    <mergeCell ref="Q106:R106"/>
    <mergeCell ref="S106:T106"/>
    <mergeCell ref="O107:P107"/>
    <mergeCell ref="Q107:R107"/>
    <mergeCell ref="S107:T107"/>
    <mergeCell ref="C108:D108"/>
    <mergeCell ref="E108:F108"/>
    <mergeCell ref="G108:H108"/>
    <mergeCell ref="I108:J108"/>
    <mergeCell ref="K108:L108"/>
    <mergeCell ref="M108:N108"/>
    <mergeCell ref="O108:P108"/>
    <mergeCell ref="C107:D107"/>
    <mergeCell ref="E107:F107"/>
    <mergeCell ref="G107:H107"/>
    <mergeCell ref="I107:J107"/>
    <mergeCell ref="K107:L107"/>
    <mergeCell ref="M107:N107"/>
    <mergeCell ref="Q108:R108"/>
    <mergeCell ref="S108:T108"/>
    <mergeCell ref="C109:D109"/>
    <mergeCell ref="E109:F109"/>
    <mergeCell ref="G109:H109"/>
    <mergeCell ref="I109:J109"/>
    <mergeCell ref="K109:L109"/>
    <mergeCell ref="M109:N109"/>
    <mergeCell ref="O109:P109"/>
    <mergeCell ref="Q109:R109"/>
    <mergeCell ref="S109:T109"/>
    <mergeCell ref="C110:D110"/>
    <mergeCell ref="E110:F110"/>
    <mergeCell ref="G110:H110"/>
    <mergeCell ref="I110:J110"/>
    <mergeCell ref="K110:L110"/>
    <mergeCell ref="M110:N110"/>
    <mergeCell ref="O110:P110"/>
    <mergeCell ref="Q110:R110"/>
    <mergeCell ref="S110:T110"/>
    <mergeCell ref="I118:N118"/>
    <mergeCell ref="O118:T118"/>
    <mergeCell ref="C116:D116"/>
    <mergeCell ref="E116:H116"/>
    <mergeCell ref="I116:L116"/>
    <mergeCell ref="M116:N116"/>
    <mergeCell ref="O116:T116"/>
    <mergeCell ref="C111:T111"/>
    <mergeCell ref="B113:F113"/>
    <mergeCell ref="H113:O113"/>
    <mergeCell ref="S113:T113"/>
    <mergeCell ref="C114:T114"/>
    <mergeCell ref="C115:T115"/>
    <mergeCell ref="B132:G132"/>
    <mergeCell ref="H132:L132"/>
    <mergeCell ref="M132:T132"/>
    <mergeCell ref="B133:G133"/>
    <mergeCell ref="I133:K133"/>
    <mergeCell ref="M133:S133"/>
    <mergeCell ref="B130:G130"/>
    <mergeCell ref="H130:L130"/>
    <mergeCell ref="M130:T130"/>
    <mergeCell ref="B131:G131"/>
    <mergeCell ref="H131:L131"/>
    <mergeCell ref="M131:T131"/>
    <mergeCell ref="K28:L28"/>
    <mergeCell ref="D25:G25"/>
    <mergeCell ref="M25:N25"/>
    <mergeCell ref="C127:T127"/>
    <mergeCell ref="C128:T128"/>
    <mergeCell ref="B129:G129"/>
    <mergeCell ref="H129:L129"/>
    <mergeCell ref="M129:T129"/>
    <mergeCell ref="C121:T121"/>
    <mergeCell ref="B122:T122"/>
    <mergeCell ref="B123:T123"/>
    <mergeCell ref="C124:T124"/>
    <mergeCell ref="C125:T125"/>
    <mergeCell ref="C126:T126"/>
    <mergeCell ref="C119:H119"/>
    <mergeCell ref="I119:N119"/>
    <mergeCell ref="O119:T119"/>
    <mergeCell ref="C120:H120"/>
    <mergeCell ref="I120:N120"/>
    <mergeCell ref="O120:T120"/>
    <mergeCell ref="C117:H117"/>
    <mergeCell ref="I117:N117"/>
    <mergeCell ref="O117:T117"/>
    <mergeCell ref="C118:H118"/>
    <mergeCell ref="D29:J29"/>
    <mergeCell ref="K21:L21"/>
    <mergeCell ref="O21:T21"/>
    <mergeCell ref="M21:N21"/>
    <mergeCell ref="B33:T33"/>
    <mergeCell ref="B32:T32"/>
    <mergeCell ref="D22:G22"/>
    <mergeCell ref="D23:G23"/>
    <mergeCell ref="D24:G24"/>
    <mergeCell ref="M22:N22"/>
    <mergeCell ref="M23:N23"/>
    <mergeCell ref="M24:N24"/>
    <mergeCell ref="M28:T28"/>
    <mergeCell ref="D28:J28"/>
    <mergeCell ref="K29:L29"/>
    <mergeCell ref="M29:T29"/>
    <mergeCell ref="D30:J30"/>
    <mergeCell ref="K30:L30"/>
    <mergeCell ref="M30:T30"/>
    <mergeCell ref="B26:B30"/>
    <mergeCell ref="C26:T26"/>
    <mergeCell ref="D27:J27"/>
    <mergeCell ref="K27:L27"/>
    <mergeCell ref="M27:T27"/>
  </mergeCells>
  <conditionalFormatting sqref="C79:F80">
    <cfRule type="cellIs" dxfId="61" priority="1" operator="equal">
      <formula>0</formula>
    </cfRule>
    <cfRule type="cellIs" dxfId="60" priority="2" operator="greaterThan">
      <formula>0</formula>
    </cfRule>
    <cfRule type="cellIs" dxfId="59" priority="3" operator="lessThan">
      <formula>0</formula>
    </cfRule>
  </conditionalFormatting>
  <conditionalFormatting sqref="C46:H46 K46:N46 G47:H47 M47:N47 C48:H48 K48:N48 E49:H50 K49:T50 C51:T51">
    <cfRule type="cellIs" dxfId="58" priority="39" operator="lessThan">
      <formula>0</formula>
    </cfRule>
  </conditionalFormatting>
  <conditionalFormatting sqref="C117:H117">
    <cfRule type="cellIs" dxfId="57" priority="45" operator="greaterThan">
      <formula>$G$107</formula>
    </cfRule>
  </conditionalFormatting>
  <conditionalFormatting sqref="C118:H118">
    <cfRule type="cellIs" dxfId="56" priority="43" operator="greaterThan">
      <formula>$G$108</formula>
    </cfRule>
  </conditionalFormatting>
  <conditionalFormatting sqref="C119:H119">
    <cfRule type="cellIs" dxfId="55" priority="40" operator="greaterThan">
      <formula>$G$109</formula>
    </cfRule>
  </conditionalFormatting>
  <conditionalFormatting sqref="C107:T110">
    <cfRule type="cellIs" dxfId="54" priority="32" operator="lessThan">
      <formula>0</formula>
    </cfRule>
  </conditionalFormatting>
  <conditionalFormatting sqref="G9">
    <cfRule type="containsText" dxfId="53" priority="25" operator="containsText" text="ZSF">
      <formula>NOT(ISERROR(SEARCH("ZSF",G9)))</formula>
    </cfRule>
    <cfRule type="containsText" dxfId="52" priority="26" operator="containsText" text="FZT">
      <formula>NOT(ISERROR(SEARCH("FZT",G9)))</formula>
    </cfRule>
  </conditionalFormatting>
  <conditionalFormatting sqref="G9:I9">
    <cfRule type="containsText" dxfId="51" priority="19" operator="containsText" text="EF">
      <formula>NOT(ISERROR(SEARCH("EF",G9)))</formula>
    </cfRule>
    <cfRule type="containsText" dxfId="50" priority="20" operator="containsText" text="FF">
      <formula>NOT(ISERROR(SEARCH("FF",G9)))</formula>
    </cfRule>
    <cfRule type="containsText" dxfId="49" priority="21" operator="containsText" text="FROV">
      <formula>NOT(ISERROR(SEARCH("FROV",G9)))</formula>
    </cfRule>
    <cfRule type="containsText" dxfId="48" priority="22" operator="containsText" text="PF">
      <formula>NOT(ISERROR(SEARCH("PF",G9)))</formula>
    </cfRule>
    <cfRule type="containsText" dxfId="47" priority="23" operator="containsText" text="PřF">
      <formula>NOT(ISERROR(SEARCH("PřF",G9)))</formula>
    </cfRule>
    <cfRule type="containsText" dxfId="46" priority="24" operator="containsText" text="TF">
      <formula>NOT(ISERROR(SEARCH("TF",G9)))</formula>
    </cfRule>
  </conditionalFormatting>
  <conditionalFormatting sqref="I79:L80">
    <cfRule type="cellIs" dxfId="45" priority="13" operator="equal">
      <formula>0</formula>
    </cfRule>
    <cfRule type="cellIs" dxfId="44" priority="14" operator="greaterThan">
      <formula>0</formula>
    </cfRule>
    <cfRule type="cellIs" dxfId="43" priority="15" operator="lessThan">
      <formula>0</formula>
    </cfRule>
  </conditionalFormatting>
  <conditionalFormatting sqref="I117:N117">
    <cfRule type="cellIs" dxfId="42" priority="44" operator="greaterThan">
      <formula>$M$107</formula>
    </cfRule>
  </conditionalFormatting>
  <conditionalFormatting sqref="I118:N118">
    <cfRule type="cellIs" dxfId="41" priority="42" operator="greaterThan">
      <formula>$M$108</formula>
    </cfRule>
  </conditionalFormatting>
  <conditionalFormatting sqref="I119:N119">
    <cfRule type="cellIs" dxfId="40" priority="41" operator="greaterThan">
      <formula>$M$109</formula>
    </cfRule>
  </conditionalFormatting>
  <conditionalFormatting sqref="K20:K25">
    <cfRule type="containsBlanks" priority="33" stopIfTrue="1">
      <formula>LEN(TRIM(K20))=0</formula>
    </cfRule>
    <cfRule type="cellIs" dxfId="39" priority="34" operator="greaterThan">
      <formula>I20</formula>
    </cfRule>
    <cfRule type="cellIs" dxfId="38" priority="35" operator="equal">
      <formula>I20</formula>
    </cfRule>
    <cfRule type="cellIs" dxfId="37" priority="36" operator="lessThan">
      <formula>I20</formula>
    </cfRule>
  </conditionalFormatting>
  <conditionalFormatting sqref="K84">
    <cfRule type="cellIs" dxfId="36" priority="12" operator="lessThan">
      <formula>0</formula>
    </cfRule>
  </conditionalFormatting>
  <conditionalFormatting sqref="K85:K86">
    <cfRule type="cellIs" dxfId="35" priority="11" operator="greaterThan">
      <formula>0</formula>
    </cfRule>
  </conditionalFormatting>
  <conditionalFormatting sqref="K86">
    <cfRule type="cellIs" dxfId="34" priority="10" operator="equal">
      <formula>0</formula>
    </cfRule>
  </conditionalFormatting>
  <conditionalFormatting sqref="M107:N109 G107:H110 S107:T110">
    <cfRule type="containsText" dxfId="33" priority="31" operator="containsText" text="chyba">
      <formula>NOT(ISERROR(SEARCH("chyba",G107)))</formula>
    </cfRule>
  </conditionalFormatting>
  <conditionalFormatting sqref="O117:T117">
    <cfRule type="cellIs" dxfId="32" priority="51" operator="greaterThan">
      <formula>$S$107</formula>
    </cfRule>
  </conditionalFormatting>
  <conditionalFormatting sqref="O118:T118">
    <cfRule type="cellIs" dxfId="31" priority="50" operator="greaterThan">
      <formula>$S$108</formula>
    </cfRule>
  </conditionalFormatting>
  <conditionalFormatting sqref="O119:T119">
    <cfRule type="cellIs" dxfId="30" priority="49" operator="greaterThan">
      <formula>$S$109</formula>
    </cfRule>
  </conditionalFormatting>
  <conditionalFormatting sqref="O120:T120">
    <cfRule type="cellIs" dxfId="29" priority="48" operator="greaterThan">
      <formula>$S$110</formula>
    </cfRule>
  </conditionalFormatting>
  <printOptions horizontalCentered="1"/>
  <pageMargins left="0.11811023622047245" right="0.11811023622047245" top="0.74803149606299213" bottom="0.35433070866141736" header="0.31496062992125984" footer="0.31496062992125984"/>
  <pageSetup paperSize="9" scale="53" fitToHeight="0" orientation="portrait" r:id="rId1"/>
  <headerFooter>
    <oddHeader>&amp;L&amp;G&amp;R Zpráva o plnění stanovených cílů a čerpání rozpočtu dílčího projektu 
&amp;K02-04909 Zahraniční mobility studentů JU - Institucionálního plánu 2019-2020&amp;K01+036 
Jihočeské univerzity v Českých Budějovicích</oddHeader>
    <oddFooter>&amp;L&amp;K01+047© 2019 ÚSR JU&amp;R&amp;K01+047&amp;P</oddFooter>
    <firstHeader>&amp;L&amp;G&amp;RInstitucionální plán 2016-2018 
&amp;K01+047Jihočeské univerzity v Českých Budějovicích</firstHeader>
    <firstFooter>&amp;L&amp;K01+049© 2015 ÚR JU&amp;R&amp;K01+049&amp;P</firstFooter>
  </headerFooter>
  <rowBreaks count="1" manualBreakCount="1">
    <brk id="86" max="20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1F5D69-730D-4CD3-94DB-CFEA01FE39C2}">
          <x14:formula1>
            <xm:f>'DATA ZDROJ MOB'!$F$4:$F$11</xm:f>
          </x14:formula1>
          <xm:sqref>G9:I9</xm:sqref>
        </x14:dataValidation>
        <x14:dataValidation type="list" allowBlank="1" showInputMessage="1" showErrorMessage="1" xr:uid="{E62764E9-9881-48B0-9952-4A4F108A5AD1}">
          <x14:formula1>
            <xm:f>'DATA ZDROJ'!$B$37:$B$38</xm:f>
          </x14:formula1>
          <xm:sqref>C6:F6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R58"/>
  <sheetViews>
    <sheetView view="pageBreakPreview" zoomScaleNormal="13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B53" sqref="B53"/>
    </sheetView>
  </sheetViews>
  <sheetFormatPr defaultColWidth="9.140625" defaultRowHeight="12.75" outlineLevelCol="1" x14ac:dyDescent="0.2"/>
  <cols>
    <col min="1" max="1" width="5" customWidth="1"/>
    <col min="2" max="2" width="8.85546875" customWidth="1"/>
    <col min="3" max="3" width="2.85546875" customWidth="1"/>
    <col min="4" max="4" width="29" style="66" customWidth="1"/>
    <col min="5" max="5" width="7.42578125" customWidth="1"/>
    <col min="6" max="8" width="4.28515625" style="71" customWidth="1"/>
    <col min="9" max="9" width="2.5703125" style="72" customWidth="1" outlineLevel="1"/>
    <col min="10" max="10" width="3" style="72" customWidth="1" outlineLevel="1"/>
    <col min="11" max="20" width="2.140625" style="72" customWidth="1" outlineLevel="1"/>
    <col min="21" max="21" width="3.28515625" style="72" customWidth="1" outlineLevel="1"/>
    <col min="22" max="22" width="3.140625" style="72" customWidth="1" outlineLevel="1"/>
    <col min="23" max="40" width="2.140625" style="72" customWidth="1" outlineLevel="1"/>
    <col min="41" max="41" width="3.5703125" style="72" customWidth="1" outlineLevel="1"/>
    <col min="42" max="42" width="2.5703125" style="72" customWidth="1" outlineLevel="1"/>
    <col min="43" max="48" width="3.85546875" style="72" customWidth="1" outlineLevel="1"/>
    <col min="49" max="49" width="3.28515625" style="73" customWidth="1" outlineLevel="1"/>
    <col min="50" max="50" width="2.140625" style="73" customWidth="1" outlineLevel="1"/>
    <col min="51" max="70" width="3.85546875" customWidth="1"/>
  </cols>
  <sheetData>
    <row r="1" spans="1:70" s="63" customFormat="1" ht="21" x14ac:dyDescent="0.25">
      <c r="D1" s="64"/>
      <c r="F1" s="611" t="s">
        <v>88</v>
      </c>
      <c r="G1" s="611"/>
      <c r="H1" s="611"/>
      <c r="I1" s="612" t="s">
        <v>89</v>
      </c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2"/>
      <c r="X1" s="612"/>
      <c r="Y1" s="612"/>
      <c r="Z1" s="612"/>
      <c r="AA1" s="612"/>
      <c r="AB1" s="612"/>
      <c r="AC1" s="612"/>
      <c r="AD1" s="612"/>
      <c r="AE1" s="612"/>
      <c r="AF1" s="612"/>
      <c r="AG1" s="612"/>
      <c r="AH1" s="612"/>
      <c r="AI1" s="612"/>
      <c r="AJ1" s="612"/>
      <c r="AK1" s="612"/>
      <c r="AL1" s="612"/>
      <c r="AM1" s="612"/>
      <c r="AN1" s="612"/>
      <c r="AO1" s="612"/>
      <c r="AP1" s="612"/>
      <c r="AQ1" s="612"/>
      <c r="AR1" s="612"/>
      <c r="AS1" s="612"/>
      <c r="AT1" s="612"/>
      <c r="AU1" s="612"/>
      <c r="AV1" s="612"/>
      <c r="AW1" s="612"/>
      <c r="AX1" s="612"/>
    </row>
    <row r="2" spans="1:70" ht="18.75" customHeight="1" x14ac:dyDescent="0.2">
      <c r="A2" s="65"/>
      <c r="F2" s="613" t="s">
        <v>90</v>
      </c>
      <c r="G2" s="613"/>
      <c r="H2" s="613"/>
      <c r="I2" s="614" t="s">
        <v>364</v>
      </c>
      <c r="J2" s="614"/>
      <c r="K2" s="614"/>
      <c r="L2" s="614"/>
      <c r="M2" s="614"/>
      <c r="N2" s="614"/>
      <c r="O2" s="614"/>
      <c r="P2" s="614"/>
      <c r="Q2" s="614"/>
      <c r="R2" s="614"/>
      <c r="S2" s="614"/>
      <c r="T2" s="614"/>
      <c r="U2" s="614"/>
      <c r="V2" s="614"/>
      <c r="W2" s="614"/>
      <c r="X2" s="614"/>
      <c r="Y2" s="614"/>
      <c r="Z2" s="614"/>
      <c r="AA2" s="614"/>
      <c r="AB2" s="614"/>
      <c r="AC2" s="614"/>
      <c r="AD2" s="614"/>
      <c r="AE2" s="615" t="s">
        <v>365</v>
      </c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T2" s="615"/>
      <c r="AU2" s="615"/>
      <c r="AV2" s="615"/>
      <c r="AW2" s="615"/>
      <c r="AX2" s="615"/>
      <c r="AY2" s="609" t="s">
        <v>539</v>
      </c>
      <c r="AZ2" s="610"/>
      <c r="BA2" s="610"/>
      <c r="BB2" s="610"/>
      <c r="BC2" s="610"/>
      <c r="BD2" s="610"/>
      <c r="BE2" s="610"/>
      <c r="BF2" s="610"/>
      <c r="BG2" s="610"/>
      <c r="BH2" s="610"/>
      <c r="BI2" s="610"/>
      <c r="BJ2" s="610"/>
      <c r="BK2" s="610"/>
      <c r="BL2" s="610"/>
      <c r="BM2" s="610"/>
      <c r="BN2" s="610"/>
      <c r="BO2" s="610"/>
      <c r="BP2" s="610"/>
      <c r="BQ2" s="610"/>
      <c r="BR2" s="610"/>
    </row>
    <row r="3" spans="1:70" s="82" customFormat="1" ht="26.25" x14ac:dyDescent="0.2">
      <c r="A3" s="95" t="s">
        <v>91</v>
      </c>
      <c r="B3" s="96" t="s">
        <v>93</v>
      </c>
      <c r="C3" s="97"/>
      <c r="D3" s="98" t="s">
        <v>58</v>
      </c>
      <c r="E3" s="99" t="s">
        <v>92</v>
      </c>
      <c r="F3" s="100"/>
      <c r="G3" s="100" t="s">
        <v>351</v>
      </c>
      <c r="H3" s="100" t="s">
        <v>352</v>
      </c>
      <c r="I3" s="149">
        <v>7</v>
      </c>
      <c r="J3" s="149">
        <v>8</v>
      </c>
      <c r="K3" s="149">
        <v>9</v>
      </c>
      <c r="L3" s="149">
        <v>10</v>
      </c>
      <c r="M3" s="149">
        <v>13</v>
      </c>
      <c r="N3" s="149">
        <v>14</v>
      </c>
      <c r="O3" s="149">
        <v>19</v>
      </c>
      <c r="P3" s="149">
        <v>21</v>
      </c>
      <c r="Q3" s="149">
        <v>23</v>
      </c>
      <c r="R3" s="149">
        <v>24</v>
      </c>
      <c r="S3" s="149">
        <v>25</v>
      </c>
      <c r="T3" s="149">
        <v>26</v>
      </c>
      <c r="U3" s="149">
        <v>27</v>
      </c>
      <c r="V3" s="149">
        <v>28</v>
      </c>
      <c r="W3" s="149">
        <v>29</v>
      </c>
      <c r="X3" s="149">
        <v>34</v>
      </c>
      <c r="Y3" s="149">
        <v>35</v>
      </c>
      <c r="Z3" s="149">
        <v>36</v>
      </c>
      <c r="AA3" s="149">
        <v>37</v>
      </c>
      <c r="AB3" s="149">
        <v>38</v>
      </c>
      <c r="AC3" s="149">
        <v>39</v>
      </c>
      <c r="AD3" s="149">
        <v>40</v>
      </c>
      <c r="AE3" s="150">
        <v>7</v>
      </c>
      <c r="AF3" s="150">
        <v>8</v>
      </c>
      <c r="AG3" s="150">
        <v>9</v>
      </c>
      <c r="AH3" s="150">
        <v>13</v>
      </c>
      <c r="AI3" s="150">
        <v>14</v>
      </c>
      <c r="AJ3" s="150">
        <v>19</v>
      </c>
      <c r="AK3" s="150">
        <v>23</v>
      </c>
      <c r="AL3" s="150">
        <v>24</v>
      </c>
      <c r="AM3" s="150">
        <v>25</v>
      </c>
      <c r="AN3" s="150">
        <v>26</v>
      </c>
      <c r="AO3" s="150">
        <v>27</v>
      </c>
      <c r="AP3" s="150">
        <v>28</v>
      </c>
      <c r="AQ3" s="150">
        <v>29</v>
      </c>
      <c r="AR3" s="150">
        <v>34</v>
      </c>
      <c r="AS3" s="150">
        <v>35</v>
      </c>
      <c r="AT3" s="150">
        <v>36</v>
      </c>
      <c r="AU3" s="150">
        <v>37</v>
      </c>
      <c r="AV3" s="150">
        <v>38</v>
      </c>
      <c r="AW3" s="150">
        <v>39</v>
      </c>
      <c r="AX3" s="150">
        <v>40</v>
      </c>
      <c r="AY3" s="248">
        <v>7</v>
      </c>
      <c r="AZ3" s="248">
        <v>8</v>
      </c>
      <c r="BA3" s="248">
        <v>9</v>
      </c>
      <c r="BB3" s="248">
        <v>13</v>
      </c>
      <c r="BC3" s="248">
        <v>14</v>
      </c>
      <c r="BD3" s="248">
        <v>19</v>
      </c>
      <c r="BE3" s="248">
        <v>23</v>
      </c>
      <c r="BF3" s="248">
        <v>24</v>
      </c>
      <c r="BG3" s="248">
        <v>25</v>
      </c>
      <c r="BH3" s="248">
        <v>26</v>
      </c>
      <c r="BI3" s="248">
        <v>27</v>
      </c>
      <c r="BJ3" s="248">
        <v>28</v>
      </c>
      <c r="BK3" s="248">
        <v>29</v>
      </c>
      <c r="BL3" s="248">
        <v>34</v>
      </c>
      <c r="BM3" s="248">
        <v>35</v>
      </c>
      <c r="BN3" s="248">
        <v>36</v>
      </c>
      <c r="BO3" s="248">
        <v>37</v>
      </c>
      <c r="BP3" s="248">
        <v>38</v>
      </c>
      <c r="BQ3" s="248">
        <v>39</v>
      </c>
      <c r="BR3" s="248">
        <v>40</v>
      </c>
    </row>
    <row r="4" spans="1:70" s="85" customFormat="1" ht="14.25" x14ac:dyDescent="0.2">
      <c r="A4" s="90"/>
      <c r="B4" s="89">
        <v>1</v>
      </c>
      <c r="C4" s="88">
        <v>2</v>
      </c>
      <c r="D4" s="88">
        <v>3</v>
      </c>
      <c r="E4" s="88">
        <v>4</v>
      </c>
      <c r="F4" s="88">
        <v>5</v>
      </c>
      <c r="G4" s="88">
        <v>6</v>
      </c>
      <c r="H4" s="88">
        <v>7</v>
      </c>
      <c r="I4" s="88">
        <v>8</v>
      </c>
      <c r="J4" s="88">
        <v>9</v>
      </c>
      <c r="K4" s="88">
        <v>10</v>
      </c>
      <c r="L4" s="88">
        <v>11</v>
      </c>
      <c r="M4" s="88">
        <v>12</v>
      </c>
      <c r="N4" s="88">
        <v>13</v>
      </c>
      <c r="O4" s="88">
        <v>14</v>
      </c>
      <c r="P4" s="88">
        <v>15</v>
      </c>
      <c r="Q4" s="88">
        <v>16</v>
      </c>
      <c r="R4" s="88">
        <v>17</v>
      </c>
      <c r="S4" s="88">
        <v>18</v>
      </c>
      <c r="T4" s="88">
        <v>19</v>
      </c>
      <c r="U4" s="88">
        <v>20</v>
      </c>
      <c r="V4" s="88">
        <v>21</v>
      </c>
      <c r="W4" s="88">
        <v>22</v>
      </c>
      <c r="X4" s="88">
        <v>23</v>
      </c>
      <c r="Y4" s="88">
        <v>24</v>
      </c>
      <c r="Z4" s="88">
        <v>25</v>
      </c>
      <c r="AA4" s="88">
        <v>26</v>
      </c>
      <c r="AB4" s="88">
        <v>27</v>
      </c>
      <c r="AC4" s="88">
        <v>28</v>
      </c>
      <c r="AD4" s="88">
        <v>29</v>
      </c>
      <c r="AE4" s="88">
        <v>30</v>
      </c>
      <c r="AF4" s="88">
        <v>31</v>
      </c>
      <c r="AG4" s="88">
        <v>32</v>
      </c>
      <c r="AH4" s="88">
        <v>33</v>
      </c>
      <c r="AI4" s="88">
        <v>34</v>
      </c>
      <c r="AJ4" s="88">
        <v>35</v>
      </c>
      <c r="AK4" s="88">
        <v>36</v>
      </c>
      <c r="AL4" s="88">
        <v>37</v>
      </c>
      <c r="AM4" s="88">
        <v>38</v>
      </c>
      <c r="AN4" s="88">
        <v>39</v>
      </c>
      <c r="AO4" s="88">
        <v>40</v>
      </c>
      <c r="AP4" s="88">
        <v>41</v>
      </c>
      <c r="AQ4" s="88">
        <v>42</v>
      </c>
      <c r="AR4" s="88">
        <v>43</v>
      </c>
      <c r="AS4" s="88">
        <v>44</v>
      </c>
      <c r="AT4" s="88">
        <v>45</v>
      </c>
      <c r="AU4" s="88">
        <v>46</v>
      </c>
      <c r="AV4" s="88">
        <v>47</v>
      </c>
      <c r="AW4" s="88">
        <v>48</v>
      </c>
      <c r="AX4" s="88">
        <v>49</v>
      </c>
      <c r="AY4" s="88">
        <v>50</v>
      </c>
      <c r="AZ4" s="88">
        <v>51</v>
      </c>
      <c r="BA4" s="88">
        <v>52</v>
      </c>
      <c r="BB4" s="88">
        <v>53</v>
      </c>
      <c r="BC4" s="88">
        <v>54</v>
      </c>
      <c r="BD4" s="88">
        <v>55</v>
      </c>
      <c r="BE4" s="88">
        <v>56</v>
      </c>
      <c r="BF4" s="88">
        <v>57</v>
      </c>
      <c r="BG4" s="88">
        <v>58</v>
      </c>
      <c r="BH4" s="88">
        <v>59</v>
      </c>
      <c r="BI4" s="88">
        <v>60</v>
      </c>
      <c r="BJ4" s="88">
        <v>61</v>
      </c>
      <c r="BK4" s="88">
        <v>62</v>
      </c>
      <c r="BL4" s="88">
        <v>63</v>
      </c>
      <c r="BM4" s="88">
        <v>64</v>
      </c>
      <c r="BN4" s="88">
        <v>65</v>
      </c>
      <c r="BO4" s="88">
        <v>66</v>
      </c>
      <c r="BP4" s="88">
        <v>67</v>
      </c>
      <c r="BQ4" s="88">
        <v>68</v>
      </c>
      <c r="BR4" s="88">
        <v>69</v>
      </c>
    </row>
    <row r="5" spans="1:70" x14ac:dyDescent="0.2">
      <c r="A5" s="91"/>
      <c r="B5" s="120" t="s">
        <v>194</v>
      </c>
      <c r="C5" s="86">
        <v>1</v>
      </c>
      <c r="D5" s="67" t="s">
        <v>242</v>
      </c>
      <c r="E5" s="68" t="s">
        <v>289</v>
      </c>
      <c r="F5" s="87"/>
      <c r="G5" s="87">
        <f>SUM(I5:AD5)</f>
        <v>0</v>
      </c>
      <c r="H5" s="87">
        <f>SUM(AE5:AX5)</f>
        <v>0</v>
      </c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46"/>
      <c r="AT5" s="146"/>
      <c r="AU5" s="146"/>
      <c r="AV5" s="146"/>
      <c r="AW5" s="146"/>
      <c r="AX5" s="146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50"/>
      <c r="BL5" s="249"/>
      <c r="BM5" s="249"/>
      <c r="BN5" s="249"/>
      <c r="BO5" s="249"/>
      <c r="BP5" s="249"/>
      <c r="BQ5" s="249"/>
      <c r="BR5" s="249"/>
    </row>
    <row r="6" spans="1:70" x14ac:dyDescent="0.2">
      <c r="A6" s="91"/>
      <c r="B6" s="120" t="s">
        <v>195</v>
      </c>
      <c r="C6" s="81">
        <v>2</v>
      </c>
      <c r="D6" s="67" t="s">
        <v>243</v>
      </c>
      <c r="E6" s="68" t="s">
        <v>289</v>
      </c>
      <c r="F6" s="69"/>
      <c r="G6" s="87">
        <f t="shared" ref="G6:G58" si="0">SUM(I6:AD6)</f>
        <v>430</v>
      </c>
      <c r="H6" s="87">
        <f t="shared" ref="H6:H58" si="1">SUM(AE6:AX6)</f>
        <v>450</v>
      </c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>
        <v>430</v>
      </c>
      <c r="V6" s="70"/>
      <c r="W6" s="70"/>
      <c r="X6" s="70"/>
      <c r="Y6" s="70"/>
      <c r="Z6" s="70"/>
      <c r="AA6" s="70"/>
      <c r="AB6" s="70"/>
      <c r="AC6" s="70"/>
      <c r="AD6" s="70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>
        <v>450</v>
      </c>
      <c r="AP6" s="146"/>
      <c r="AQ6" s="146"/>
      <c r="AR6" s="146"/>
      <c r="AS6" s="146"/>
      <c r="AT6" s="146"/>
      <c r="AU6" s="146"/>
      <c r="AV6" s="146"/>
      <c r="AW6" s="146"/>
      <c r="AX6" s="146"/>
      <c r="AY6" s="249"/>
      <c r="AZ6" s="250"/>
      <c r="BA6" s="250"/>
      <c r="BB6" s="250"/>
      <c r="BC6" s="250"/>
      <c r="BD6" s="250"/>
      <c r="BE6" s="249"/>
      <c r="BF6" s="249"/>
      <c r="BG6" s="249"/>
      <c r="BH6" s="249"/>
      <c r="BI6" s="249">
        <v>391</v>
      </c>
      <c r="BJ6" s="249"/>
      <c r="BK6" s="249"/>
      <c r="BL6" s="249"/>
      <c r="BM6" s="249"/>
      <c r="BN6" s="249"/>
      <c r="BO6" s="249"/>
      <c r="BP6" s="249"/>
      <c r="BQ6" s="249"/>
      <c r="BR6" s="249"/>
    </row>
    <row r="7" spans="1:70" x14ac:dyDescent="0.2">
      <c r="A7" s="91"/>
      <c r="B7" s="120" t="s">
        <v>196</v>
      </c>
      <c r="C7" s="81">
        <v>3</v>
      </c>
      <c r="D7" s="67" t="s">
        <v>244</v>
      </c>
      <c r="E7" s="68" t="s">
        <v>289</v>
      </c>
      <c r="F7" s="69"/>
      <c r="G7" s="87">
        <f t="shared" si="0"/>
        <v>6000</v>
      </c>
      <c r="H7" s="87">
        <f t="shared" si="1"/>
        <v>7000</v>
      </c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>
        <v>6000</v>
      </c>
      <c r="V7" s="70"/>
      <c r="W7" s="70"/>
      <c r="X7" s="70"/>
      <c r="Y7" s="70"/>
      <c r="Z7" s="70"/>
      <c r="AA7" s="70"/>
      <c r="AB7" s="70"/>
      <c r="AC7" s="70"/>
      <c r="AD7" s="70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>
        <v>7000</v>
      </c>
      <c r="AP7" s="146"/>
      <c r="AQ7" s="146"/>
      <c r="AR7" s="146"/>
      <c r="AS7" s="146"/>
      <c r="AT7" s="146"/>
      <c r="AU7" s="146"/>
      <c r="AV7" s="146"/>
      <c r="AW7" s="146"/>
      <c r="AX7" s="146"/>
      <c r="AY7" s="249"/>
      <c r="AZ7" s="250"/>
      <c r="BA7" s="250"/>
      <c r="BB7" s="250"/>
      <c r="BC7" s="250"/>
      <c r="BD7" s="250"/>
      <c r="BE7" s="249"/>
      <c r="BF7" s="249"/>
      <c r="BG7" s="249"/>
      <c r="BH7" s="249"/>
      <c r="BI7" s="249">
        <v>6388</v>
      </c>
      <c r="BJ7" s="249"/>
      <c r="BK7" s="249"/>
      <c r="BL7" s="249"/>
      <c r="BM7" s="249"/>
      <c r="BN7" s="249"/>
      <c r="BO7" s="249"/>
      <c r="BP7" s="249"/>
      <c r="BQ7" s="249"/>
      <c r="BR7" s="249"/>
    </row>
    <row r="8" spans="1:70" x14ac:dyDescent="0.2">
      <c r="A8" s="91"/>
      <c r="B8" s="120" t="s">
        <v>197</v>
      </c>
      <c r="C8" s="81">
        <v>4</v>
      </c>
      <c r="D8" s="67" t="s">
        <v>245</v>
      </c>
      <c r="E8" s="68" t="s">
        <v>289</v>
      </c>
      <c r="F8" s="69"/>
      <c r="G8" s="87">
        <f t="shared" si="0"/>
        <v>0</v>
      </c>
      <c r="H8" s="87">
        <f t="shared" si="1"/>
        <v>0</v>
      </c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146"/>
      <c r="AF8" s="146"/>
      <c r="AG8" s="146"/>
      <c r="AH8" s="146"/>
      <c r="AI8" s="146"/>
      <c r="AJ8" s="146"/>
      <c r="AK8" s="146"/>
      <c r="AL8" s="146"/>
      <c r="AM8" s="146"/>
      <c r="AN8" s="146"/>
      <c r="AO8" s="146"/>
      <c r="AP8" s="146"/>
      <c r="AQ8" s="146"/>
      <c r="AR8" s="146"/>
      <c r="AS8" s="146"/>
      <c r="AT8" s="146"/>
      <c r="AU8" s="146"/>
      <c r="AV8" s="146"/>
      <c r="AW8" s="146"/>
      <c r="AX8" s="146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50"/>
      <c r="BL8" s="249"/>
      <c r="BM8" s="249"/>
      <c r="BN8" s="249"/>
      <c r="BO8" s="249"/>
      <c r="BP8" s="249"/>
      <c r="BQ8" s="249"/>
      <c r="BR8" s="249"/>
    </row>
    <row r="9" spans="1:70" ht="16.5" x14ac:dyDescent="0.2">
      <c r="A9" s="91"/>
      <c r="B9" s="120" t="s">
        <v>198</v>
      </c>
      <c r="C9" s="81">
        <v>5</v>
      </c>
      <c r="D9" s="67" t="s">
        <v>246</v>
      </c>
      <c r="E9" s="68" t="s">
        <v>289</v>
      </c>
      <c r="F9" s="69"/>
      <c r="G9" s="87">
        <f t="shared" si="0"/>
        <v>3</v>
      </c>
      <c r="H9" s="87">
        <f t="shared" si="1"/>
        <v>6</v>
      </c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>
        <v>3</v>
      </c>
      <c r="V9" s="70"/>
      <c r="W9" s="70"/>
      <c r="X9" s="70"/>
      <c r="Y9" s="70"/>
      <c r="Z9" s="70"/>
      <c r="AA9" s="70"/>
      <c r="AB9" s="70"/>
      <c r="AC9" s="70"/>
      <c r="AD9" s="70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>
        <v>6</v>
      </c>
      <c r="AP9" s="146"/>
      <c r="AQ9" s="146"/>
      <c r="AR9" s="146"/>
      <c r="AS9" s="146"/>
      <c r="AT9" s="146"/>
      <c r="AU9" s="146"/>
      <c r="AV9" s="146"/>
      <c r="AW9" s="146"/>
      <c r="AX9" s="146"/>
      <c r="AY9" s="249"/>
      <c r="AZ9" s="249"/>
      <c r="BA9" s="249"/>
      <c r="BB9" s="249"/>
      <c r="BC9" s="249"/>
      <c r="BD9" s="249"/>
      <c r="BE9" s="249"/>
      <c r="BF9" s="249"/>
      <c r="BG9" s="249"/>
      <c r="BH9" s="249"/>
      <c r="BI9" s="249">
        <v>3</v>
      </c>
      <c r="BJ9" s="249"/>
      <c r="BK9" s="250"/>
      <c r="BL9" s="249"/>
      <c r="BM9" s="249"/>
      <c r="BN9" s="249"/>
      <c r="BO9" s="249"/>
      <c r="BP9" s="249"/>
      <c r="BQ9" s="249"/>
      <c r="BR9" s="249"/>
    </row>
    <row r="10" spans="1:70" x14ac:dyDescent="0.2">
      <c r="A10" s="91"/>
      <c r="B10" s="120" t="s">
        <v>199</v>
      </c>
      <c r="C10" s="81">
        <v>6</v>
      </c>
      <c r="D10" s="67" t="s">
        <v>247</v>
      </c>
      <c r="E10" s="68" t="s">
        <v>289</v>
      </c>
      <c r="F10" s="69"/>
      <c r="G10" s="87">
        <f t="shared" si="0"/>
        <v>14</v>
      </c>
      <c r="H10" s="87">
        <f t="shared" si="1"/>
        <v>14</v>
      </c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>
        <v>14</v>
      </c>
      <c r="V10" s="70"/>
      <c r="W10" s="70"/>
      <c r="X10" s="70"/>
      <c r="Y10" s="70"/>
      <c r="Z10" s="70"/>
      <c r="AA10" s="70"/>
      <c r="AB10" s="70"/>
      <c r="AC10" s="70"/>
      <c r="AD10" s="70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>
        <v>14</v>
      </c>
      <c r="AP10" s="146"/>
      <c r="AQ10" s="146"/>
      <c r="AR10" s="146"/>
      <c r="AS10" s="146"/>
      <c r="AT10" s="146"/>
      <c r="AU10" s="146"/>
      <c r="AV10" s="146"/>
      <c r="AW10" s="146"/>
      <c r="AX10" s="146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49">
        <v>15</v>
      </c>
      <c r="BJ10" s="249"/>
      <c r="BK10" s="250"/>
      <c r="BL10" s="249"/>
      <c r="BM10" s="249"/>
      <c r="BN10" s="249"/>
      <c r="BO10" s="249"/>
      <c r="BP10" s="249"/>
      <c r="BQ10" s="249"/>
      <c r="BR10" s="249"/>
    </row>
    <row r="11" spans="1:70" ht="16.5" x14ac:dyDescent="0.2">
      <c r="A11" s="91"/>
      <c r="B11" s="120" t="s">
        <v>200</v>
      </c>
      <c r="C11" s="81">
        <v>7</v>
      </c>
      <c r="D11" s="67" t="s">
        <v>248</v>
      </c>
      <c r="E11" s="68" t="s">
        <v>290</v>
      </c>
      <c r="F11" s="69"/>
      <c r="G11" s="87">
        <f t="shared" si="0"/>
        <v>0</v>
      </c>
      <c r="H11" s="87">
        <f t="shared" si="1"/>
        <v>1</v>
      </c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>
        <v>0</v>
      </c>
      <c r="AD11" s="70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>
        <v>1</v>
      </c>
      <c r="AX11" s="146"/>
      <c r="AY11" s="249"/>
      <c r="AZ11" s="250"/>
      <c r="BA11" s="250"/>
      <c r="BB11" s="250"/>
      <c r="BC11" s="250"/>
      <c r="BD11" s="250"/>
      <c r="BE11" s="249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>
        <v>0</v>
      </c>
      <c r="BR11" s="249"/>
    </row>
    <row r="12" spans="1:70" ht="16.5" x14ac:dyDescent="0.2">
      <c r="A12" s="91"/>
      <c r="B12" s="120" t="s">
        <v>201</v>
      </c>
      <c r="C12" s="81">
        <v>8</v>
      </c>
      <c r="D12" s="67" t="s">
        <v>249</v>
      </c>
      <c r="E12" s="68" t="s">
        <v>289</v>
      </c>
      <c r="F12" s="69"/>
      <c r="G12" s="87">
        <f t="shared" si="0"/>
        <v>3</v>
      </c>
      <c r="H12" s="87">
        <f t="shared" si="1"/>
        <v>2</v>
      </c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>
        <v>3</v>
      </c>
      <c r="X12" s="70"/>
      <c r="Y12" s="70"/>
      <c r="Z12" s="70"/>
      <c r="AA12" s="70"/>
      <c r="AB12" s="70"/>
      <c r="AC12" s="70"/>
      <c r="AD12" s="70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>
        <v>2</v>
      </c>
      <c r="AR12" s="146"/>
      <c r="AS12" s="146"/>
      <c r="AT12" s="146"/>
      <c r="AU12" s="146"/>
      <c r="AV12" s="146"/>
      <c r="AW12" s="146"/>
      <c r="AX12" s="146"/>
      <c r="AY12" s="249"/>
      <c r="AZ12" s="250"/>
      <c r="BA12" s="250"/>
      <c r="BB12" s="250"/>
      <c r="BC12" s="250"/>
      <c r="BD12" s="250"/>
      <c r="BE12" s="249"/>
      <c r="BF12" s="249"/>
      <c r="BG12" s="249"/>
      <c r="BH12" s="249"/>
      <c r="BI12" s="249"/>
      <c r="BJ12" s="249"/>
      <c r="BK12" s="249">
        <v>6</v>
      </c>
      <c r="BL12" s="249"/>
      <c r="BM12" s="249"/>
      <c r="BN12" s="249"/>
      <c r="BO12" s="249"/>
      <c r="BP12" s="249"/>
      <c r="BQ12" s="249"/>
      <c r="BR12" s="249"/>
    </row>
    <row r="13" spans="1:70" x14ac:dyDescent="0.2">
      <c r="A13" s="91"/>
      <c r="B13" s="120" t="s">
        <v>202</v>
      </c>
      <c r="C13" s="81">
        <v>9</v>
      </c>
      <c r="D13" s="67" t="s">
        <v>250</v>
      </c>
      <c r="E13" s="68" t="s">
        <v>289</v>
      </c>
      <c r="F13" s="69"/>
      <c r="G13" s="87">
        <f t="shared" si="0"/>
        <v>2</v>
      </c>
      <c r="H13" s="87">
        <f t="shared" si="1"/>
        <v>2</v>
      </c>
      <c r="I13" s="70"/>
      <c r="J13" s="70"/>
      <c r="K13" s="70"/>
      <c r="L13" s="70"/>
      <c r="M13" s="70"/>
      <c r="N13" s="70"/>
      <c r="O13" s="70"/>
      <c r="P13" s="70"/>
      <c r="Q13" s="70"/>
      <c r="R13" s="70">
        <v>2</v>
      </c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146"/>
      <c r="AF13" s="146"/>
      <c r="AG13" s="146"/>
      <c r="AH13" s="146"/>
      <c r="AI13" s="146"/>
      <c r="AJ13" s="146"/>
      <c r="AK13" s="146"/>
      <c r="AL13" s="146">
        <v>2</v>
      </c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249"/>
      <c r="AZ13" s="250"/>
      <c r="BA13" s="250"/>
      <c r="BB13" s="250"/>
      <c r="BC13" s="250"/>
      <c r="BD13" s="250"/>
      <c r="BE13" s="249"/>
      <c r="BF13" s="249">
        <v>2</v>
      </c>
      <c r="BG13" s="249"/>
      <c r="BH13" s="249"/>
      <c r="BI13" s="249"/>
      <c r="BJ13" s="249"/>
      <c r="BK13" s="249"/>
      <c r="BL13" s="249"/>
      <c r="BM13" s="249"/>
      <c r="BN13" s="249"/>
      <c r="BO13" s="249"/>
      <c r="BP13" s="249"/>
      <c r="BQ13" s="249"/>
      <c r="BR13" s="249"/>
    </row>
    <row r="14" spans="1:70" ht="16.5" x14ac:dyDescent="0.2">
      <c r="A14" s="91"/>
      <c r="B14" s="120" t="s">
        <v>353</v>
      </c>
      <c r="C14" s="81">
        <v>10</v>
      </c>
      <c r="D14" s="67" t="s">
        <v>357</v>
      </c>
      <c r="E14" s="68" t="s">
        <v>289</v>
      </c>
      <c r="F14" s="69"/>
      <c r="G14" s="87">
        <f t="shared" si="0"/>
        <v>400</v>
      </c>
      <c r="H14" s="87">
        <f t="shared" si="1"/>
        <v>400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>
        <v>400</v>
      </c>
      <c r="V14" s="70"/>
      <c r="W14" s="70"/>
      <c r="X14" s="70"/>
      <c r="Y14" s="70"/>
      <c r="Z14" s="70"/>
      <c r="AA14" s="70"/>
      <c r="AB14" s="70"/>
      <c r="AC14" s="70"/>
      <c r="AD14" s="70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>
        <v>400</v>
      </c>
      <c r="AP14" s="146"/>
      <c r="AQ14" s="146"/>
      <c r="AR14" s="146"/>
      <c r="AS14" s="146"/>
      <c r="AT14" s="146"/>
      <c r="AU14" s="146"/>
      <c r="AV14" s="146"/>
      <c r="AW14" s="146"/>
      <c r="AX14" s="146"/>
      <c r="AY14" s="249"/>
      <c r="AZ14" s="250"/>
      <c r="BA14" s="250"/>
      <c r="BB14" s="250"/>
      <c r="BC14" s="250"/>
      <c r="BD14" s="250"/>
      <c r="BE14" s="249"/>
      <c r="BF14" s="249"/>
      <c r="BG14" s="249"/>
      <c r="BH14" s="249"/>
      <c r="BI14" s="249">
        <v>579</v>
      </c>
      <c r="BJ14" s="249"/>
      <c r="BK14" s="249"/>
      <c r="BL14" s="249"/>
      <c r="BM14" s="249"/>
      <c r="BN14" s="249"/>
      <c r="BO14" s="249"/>
      <c r="BP14" s="249"/>
      <c r="BQ14" s="249"/>
      <c r="BR14" s="249"/>
    </row>
    <row r="15" spans="1:70" ht="24.75" x14ac:dyDescent="0.2">
      <c r="A15" s="91"/>
      <c r="B15" s="120" t="s">
        <v>203</v>
      </c>
      <c r="C15" s="81">
        <v>11</v>
      </c>
      <c r="D15" s="67" t="s">
        <v>251</v>
      </c>
      <c r="E15" s="68" t="s">
        <v>289</v>
      </c>
      <c r="F15" s="69"/>
      <c r="G15" s="87">
        <f t="shared" si="0"/>
        <v>18</v>
      </c>
      <c r="H15" s="87">
        <f t="shared" si="1"/>
        <v>18</v>
      </c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>
        <v>18</v>
      </c>
      <c r="V15" s="70"/>
      <c r="W15" s="70"/>
      <c r="X15" s="70"/>
      <c r="Y15" s="70"/>
      <c r="Z15" s="70"/>
      <c r="AA15" s="70"/>
      <c r="AB15" s="70"/>
      <c r="AC15" s="70"/>
      <c r="AD15" s="70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>
        <v>18</v>
      </c>
      <c r="AP15" s="146"/>
      <c r="AQ15" s="146"/>
      <c r="AR15" s="146"/>
      <c r="AS15" s="146"/>
      <c r="AT15" s="146"/>
      <c r="AU15" s="146"/>
      <c r="AV15" s="146"/>
      <c r="AW15" s="146"/>
      <c r="AX15" s="146"/>
      <c r="AY15" s="249"/>
      <c r="AZ15" s="250"/>
      <c r="BA15" s="250"/>
      <c r="BB15" s="250"/>
      <c r="BC15" s="250"/>
      <c r="BD15" s="250"/>
      <c r="BE15" s="249"/>
      <c r="BF15" s="249"/>
      <c r="BG15" s="249"/>
      <c r="BH15" s="249"/>
      <c r="BI15" s="249">
        <v>18</v>
      </c>
      <c r="BJ15" s="249"/>
      <c r="BK15" s="249"/>
      <c r="BL15" s="249"/>
      <c r="BM15" s="249"/>
      <c r="BN15" s="249"/>
      <c r="BO15" s="249"/>
      <c r="BP15" s="249"/>
      <c r="BQ15" s="249"/>
      <c r="BR15" s="249"/>
    </row>
    <row r="16" spans="1:70" ht="16.5" x14ac:dyDescent="0.2">
      <c r="A16" s="91"/>
      <c r="B16" s="120" t="s">
        <v>204</v>
      </c>
      <c r="C16" s="81">
        <v>12</v>
      </c>
      <c r="D16" s="67" t="s">
        <v>252</v>
      </c>
      <c r="E16" s="68" t="s">
        <v>289</v>
      </c>
      <c r="F16" s="69"/>
      <c r="G16" s="87">
        <f t="shared" si="0"/>
        <v>4</v>
      </c>
      <c r="H16" s="87">
        <f t="shared" si="1"/>
        <v>3</v>
      </c>
      <c r="I16" s="70"/>
      <c r="J16" s="70"/>
      <c r="K16" s="70"/>
      <c r="L16" s="70"/>
      <c r="M16" s="70">
        <v>1</v>
      </c>
      <c r="N16" s="70">
        <v>1</v>
      </c>
      <c r="O16" s="70"/>
      <c r="P16" s="70">
        <v>1</v>
      </c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>
        <v>1</v>
      </c>
      <c r="AC16" s="70"/>
      <c r="AD16" s="70"/>
      <c r="AE16" s="146"/>
      <c r="AF16" s="146"/>
      <c r="AG16" s="146"/>
      <c r="AH16" s="146">
        <v>1</v>
      </c>
      <c r="AI16" s="146">
        <v>1</v>
      </c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>
        <v>1</v>
      </c>
      <c r="AW16" s="146"/>
      <c r="AX16" s="146"/>
      <c r="AY16" s="249"/>
      <c r="AZ16" s="250"/>
      <c r="BA16" s="250"/>
      <c r="BB16" s="250">
        <v>1</v>
      </c>
      <c r="BC16" s="250">
        <v>1</v>
      </c>
      <c r="BD16" s="250"/>
      <c r="BE16" s="249"/>
      <c r="BF16" s="249"/>
      <c r="BG16" s="249"/>
      <c r="BH16" s="249"/>
      <c r="BI16" s="249"/>
      <c r="BJ16" s="249"/>
      <c r="BK16" s="249"/>
      <c r="BL16" s="249"/>
      <c r="BM16" s="249"/>
      <c r="BN16" s="249"/>
      <c r="BO16" s="249"/>
      <c r="BP16" s="249">
        <v>1</v>
      </c>
      <c r="BQ16" s="249"/>
      <c r="BR16" s="249"/>
    </row>
    <row r="17" spans="1:70" ht="16.5" x14ac:dyDescent="0.2">
      <c r="A17" s="91"/>
      <c r="B17" s="120" t="s">
        <v>205</v>
      </c>
      <c r="C17" s="81">
        <v>13</v>
      </c>
      <c r="D17" s="67" t="s">
        <v>253</v>
      </c>
      <c r="E17" s="68" t="s">
        <v>290</v>
      </c>
      <c r="F17" s="69"/>
      <c r="G17" s="87">
        <f t="shared" si="0"/>
        <v>39</v>
      </c>
      <c r="H17" s="87">
        <f t="shared" si="1"/>
        <v>90</v>
      </c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>
        <v>39</v>
      </c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>
        <v>90</v>
      </c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249"/>
      <c r="AZ17" s="250"/>
      <c r="BA17" s="250"/>
      <c r="BB17" s="250"/>
      <c r="BC17" s="250"/>
      <c r="BD17" s="250"/>
      <c r="BE17" s="249"/>
      <c r="BF17" s="249"/>
      <c r="BG17" s="249"/>
      <c r="BH17" s="249">
        <v>44</v>
      </c>
      <c r="BI17" s="249"/>
      <c r="BJ17" s="249"/>
      <c r="BK17" s="249"/>
      <c r="BL17" s="249"/>
      <c r="BM17" s="249"/>
      <c r="BN17" s="249"/>
      <c r="BO17" s="249"/>
      <c r="BP17" s="249"/>
      <c r="BQ17" s="249"/>
      <c r="BR17" s="249"/>
    </row>
    <row r="18" spans="1:70" x14ac:dyDescent="0.2">
      <c r="A18" s="91"/>
      <c r="B18" s="120" t="s">
        <v>206</v>
      </c>
      <c r="C18" s="81">
        <v>14</v>
      </c>
      <c r="D18" s="67" t="s">
        <v>254</v>
      </c>
      <c r="E18" s="68" t="s">
        <v>289</v>
      </c>
      <c r="F18" s="69"/>
      <c r="G18" s="87">
        <f t="shared" si="0"/>
        <v>1</v>
      </c>
      <c r="H18" s="87">
        <f t="shared" si="1"/>
        <v>1</v>
      </c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>
        <v>1</v>
      </c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146"/>
      <c r="AF18" s="146"/>
      <c r="AG18" s="146"/>
      <c r="AH18" s="146"/>
      <c r="AI18" s="146"/>
      <c r="AJ18" s="146"/>
      <c r="AK18" s="146"/>
      <c r="AL18" s="146"/>
      <c r="AM18" s="146">
        <v>1</v>
      </c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249"/>
      <c r="AZ18" s="250"/>
      <c r="BA18" s="250"/>
      <c r="BB18" s="250"/>
      <c r="BC18" s="250"/>
      <c r="BD18" s="250"/>
      <c r="BE18" s="249"/>
      <c r="BF18" s="249"/>
      <c r="BG18" s="249">
        <v>1</v>
      </c>
      <c r="BH18" s="249"/>
      <c r="BI18" s="249"/>
      <c r="BJ18" s="249"/>
      <c r="BK18" s="249"/>
      <c r="BL18" s="249"/>
      <c r="BM18" s="249"/>
      <c r="BN18" s="249"/>
      <c r="BO18" s="249"/>
      <c r="BP18" s="249"/>
      <c r="BQ18" s="249"/>
      <c r="BR18" s="249"/>
    </row>
    <row r="19" spans="1:70" ht="16.5" x14ac:dyDescent="0.2">
      <c r="A19" s="91"/>
      <c r="B19" s="120" t="s">
        <v>207</v>
      </c>
      <c r="C19" s="81">
        <v>15</v>
      </c>
      <c r="D19" s="67" t="s">
        <v>255</v>
      </c>
      <c r="E19" s="68" t="s">
        <v>289</v>
      </c>
      <c r="F19" s="69"/>
      <c r="G19" s="87">
        <f t="shared" si="0"/>
        <v>3</v>
      </c>
      <c r="H19" s="87">
        <f t="shared" si="1"/>
        <v>3</v>
      </c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>
        <v>3</v>
      </c>
      <c r="V19" s="70"/>
      <c r="W19" s="70"/>
      <c r="X19" s="70"/>
      <c r="Y19" s="70"/>
      <c r="Z19" s="70"/>
      <c r="AA19" s="70"/>
      <c r="AB19" s="70"/>
      <c r="AC19" s="70"/>
      <c r="AD19" s="70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>
        <v>3</v>
      </c>
      <c r="AP19" s="146"/>
      <c r="AQ19" s="146"/>
      <c r="AR19" s="146"/>
      <c r="AS19" s="146"/>
      <c r="AT19" s="146"/>
      <c r="AU19" s="146"/>
      <c r="AV19" s="146"/>
      <c r="AW19" s="146"/>
      <c r="AX19" s="146"/>
      <c r="AY19" s="249"/>
      <c r="AZ19" s="250"/>
      <c r="BA19" s="250"/>
      <c r="BB19" s="250"/>
      <c r="BC19" s="250"/>
      <c r="BD19" s="250"/>
      <c r="BE19" s="249"/>
      <c r="BF19" s="249"/>
      <c r="BG19" s="249"/>
      <c r="BH19" s="249"/>
      <c r="BI19" s="249">
        <v>3</v>
      </c>
      <c r="BJ19" s="249"/>
      <c r="BK19" s="249"/>
      <c r="BL19" s="249"/>
      <c r="BM19" s="249"/>
      <c r="BN19" s="249"/>
      <c r="BO19" s="249"/>
      <c r="BP19" s="249"/>
      <c r="BQ19" s="249"/>
      <c r="BR19" s="249"/>
    </row>
    <row r="20" spans="1:70" ht="16.5" x14ac:dyDescent="0.2">
      <c r="A20" s="91"/>
      <c r="B20" s="120" t="s">
        <v>208</v>
      </c>
      <c r="C20" s="81">
        <v>16</v>
      </c>
      <c r="D20" s="67" t="s">
        <v>256</v>
      </c>
      <c r="E20" s="68" t="s">
        <v>289</v>
      </c>
      <c r="F20" s="69"/>
      <c r="G20" s="87">
        <f t="shared" si="0"/>
        <v>0</v>
      </c>
      <c r="H20" s="87">
        <f t="shared" si="1"/>
        <v>0</v>
      </c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249"/>
      <c r="AZ20" s="249"/>
      <c r="BA20" s="249"/>
      <c r="BB20" s="249"/>
      <c r="BC20" s="249"/>
      <c r="BD20" s="249"/>
      <c r="BE20" s="249"/>
      <c r="BF20" s="249"/>
      <c r="BG20" s="249"/>
      <c r="BH20" s="249"/>
      <c r="BI20" s="249"/>
      <c r="BJ20" s="249"/>
      <c r="BK20" s="249"/>
      <c r="BL20" s="249"/>
      <c r="BM20" s="249"/>
      <c r="BN20" s="249"/>
      <c r="BO20" s="250"/>
      <c r="BP20" s="249"/>
      <c r="BQ20" s="249"/>
      <c r="BR20" s="249"/>
    </row>
    <row r="21" spans="1:70" ht="16.5" x14ac:dyDescent="0.2">
      <c r="A21" s="91"/>
      <c r="B21" s="120" t="s">
        <v>209</v>
      </c>
      <c r="C21" s="81">
        <v>17</v>
      </c>
      <c r="D21" s="67" t="s">
        <v>257</v>
      </c>
      <c r="E21" s="68" t="s">
        <v>289</v>
      </c>
      <c r="F21" s="69"/>
      <c r="G21" s="87">
        <f t="shared" si="0"/>
        <v>0</v>
      </c>
      <c r="H21" s="87">
        <f t="shared" si="1"/>
        <v>0</v>
      </c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249"/>
      <c r="AZ21" s="249"/>
      <c r="BA21" s="249"/>
      <c r="BB21" s="249"/>
      <c r="BC21" s="249"/>
      <c r="BD21" s="249"/>
      <c r="BE21" s="249"/>
      <c r="BF21" s="249"/>
      <c r="BG21" s="249"/>
      <c r="BH21" s="249"/>
      <c r="BI21" s="249"/>
      <c r="BJ21" s="249"/>
      <c r="BK21" s="249"/>
      <c r="BL21" s="249"/>
      <c r="BM21" s="249"/>
      <c r="BN21" s="249"/>
      <c r="BO21" s="250"/>
      <c r="BP21" s="249"/>
      <c r="BQ21" s="249"/>
      <c r="BR21" s="249"/>
    </row>
    <row r="22" spans="1:70" x14ac:dyDescent="0.2">
      <c r="A22" s="91"/>
      <c r="B22" s="120" t="s">
        <v>210</v>
      </c>
      <c r="C22" s="81">
        <v>18</v>
      </c>
      <c r="D22" s="67" t="s">
        <v>258</v>
      </c>
      <c r="E22" s="68" t="s">
        <v>289</v>
      </c>
      <c r="F22" s="69"/>
      <c r="G22" s="87">
        <f t="shared" si="0"/>
        <v>0</v>
      </c>
      <c r="H22" s="87">
        <f t="shared" si="1"/>
        <v>0</v>
      </c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249"/>
      <c r="AZ22" s="249"/>
      <c r="BA22" s="249"/>
      <c r="BB22" s="249"/>
      <c r="BC22" s="249"/>
      <c r="BD22" s="249"/>
      <c r="BE22" s="249"/>
      <c r="BF22" s="249"/>
      <c r="BG22" s="249"/>
      <c r="BH22" s="249"/>
      <c r="BI22" s="249"/>
      <c r="BJ22" s="249"/>
      <c r="BK22" s="249"/>
      <c r="BL22" s="249"/>
      <c r="BM22" s="249"/>
      <c r="BN22" s="249"/>
      <c r="BO22" s="250"/>
      <c r="BP22" s="249"/>
      <c r="BQ22" s="249"/>
      <c r="BR22" s="249"/>
    </row>
    <row r="23" spans="1:70" ht="16.5" x14ac:dyDescent="0.2">
      <c r="A23" s="91"/>
      <c r="B23" s="120" t="s">
        <v>211</v>
      </c>
      <c r="C23" s="81">
        <v>19</v>
      </c>
      <c r="D23" s="67" t="s">
        <v>259</v>
      </c>
      <c r="E23" s="68" t="s">
        <v>289</v>
      </c>
      <c r="F23" s="69"/>
      <c r="G23" s="87">
        <f t="shared" si="0"/>
        <v>0</v>
      </c>
      <c r="H23" s="87">
        <f t="shared" si="1"/>
        <v>1</v>
      </c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>
        <v>0</v>
      </c>
      <c r="AD23" s="70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>
        <v>1</v>
      </c>
      <c r="AX23" s="146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50"/>
      <c r="BP23" s="249"/>
      <c r="BQ23" s="249">
        <v>0</v>
      </c>
      <c r="BR23" s="249"/>
    </row>
    <row r="24" spans="1:70" x14ac:dyDescent="0.2">
      <c r="A24" s="91"/>
      <c r="B24" s="120" t="s">
        <v>212</v>
      </c>
      <c r="C24" s="81">
        <v>20</v>
      </c>
      <c r="D24" s="67" t="s">
        <v>260</v>
      </c>
      <c r="E24" s="68" t="s">
        <v>289</v>
      </c>
      <c r="F24" s="69"/>
      <c r="G24" s="87">
        <f t="shared" si="0"/>
        <v>0</v>
      </c>
      <c r="H24" s="87">
        <f t="shared" si="1"/>
        <v>0</v>
      </c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249"/>
      <c r="AZ24" s="249"/>
      <c r="BA24" s="249"/>
      <c r="BB24" s="249"/>
      <c r="BC24" s="249"/>
      <c r="BD24" s="249"/>
      <c r="BE24" s="249"/>
      <c r="BF24" s="249"/>
      <c r="BG24" s="249"/>
      <c r="BH24" s="249"/>
      <c r="BI24" s="249"/>
      <c r="BJ24" s="249"/>
      <c r="BK24" s="249"/>
      <c r="BL24" s="249"/>
      <c r="BM24" s="249"/>
      <c r="BN24" s="249"/>
      <c r="BO24" s="250"/>
      <c r="BP24" s="249"/>
      <c r="BQ24" s="249"/>
      <c r="BR24" s="249"/>
    </row>
    <row r="25" spans="1:70" ht="15" x14ac:dyDescent="0.2">
      <c r="A25" s="91"/>
      <c r="B25" s="120" t="s">
        <v>354</v>
      </c>
      <c r="C25" s="81">
        <v>21</v>
      </c>
      <c r="D25" s="67" t="s">
        <v>358</v>
      </c>
      <c r="E25" s="68" t="s">
        <v>290</v>
      </c>
      <c r="F25" s="69"/>
      <c r="G25" s="87">
        <f t="shared" si="0"/>
        <v>1</v>
      </c>
      <c r="H25" s="87">
        <f t="shared" si="1"/>
        <v>1</v>
      </c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>
        <v>1</v>
      </c>
      <c r="Y25" s="70"/>
      <c r="Z25" s="70"/>
      <c r="AA25" s="70"/>
      <c r="AB25" s="70"/>
      <c r="AC25" s="70"/>
      <c r="AD25" s="70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>
        <v>1</v>
      </c>
      <c r="AS25" s="146"/>
      <c r="AT25" s="146"/>
      <c r="AU25" s="146"/>
      <c r="AV25" s="146"/>
      <c r="AW25" s="146"/>
      <c r="AX25" s="146"/>
      <c r="AY25" s="249"/>
      <c r="AZ25" s="249"/>
      <c r="BA25" s="249"/>
      <c r="BB25" s="249"/>
      <c r="BC25" s="249"/>
      <c r="BD25" s="249"/>
      <c r="BE25" s="249"/>
      <c r="BF25" s="249"/>
      <c r="BG25" s="249"/>
      <c r="BH25" s="249"/>
      <c r="BI25" s="249"/>
      <c r="BJ25" s="249"/>
      <c r="BK25" s="249"/>
      <c r="BL25" s="249">
        <v>1</v>
      </c>
      <c r="BM25" s="249"/>
      <c r="BN25" s="249"/>
      <c r="BO25" s="250"/>
      <c r="BP25" s="249"/>
      <c r="BQ25" s="249"/>
      <c r="BR25" s="249"/>
    </row>
    <row r="26" spans="1:70" x14ac:dyDescent="0.2">
      <c r="A26" s="91"/>
      <c r="B26" s="120" t="s">
        <v>213</v>
      </c>
      <c r="C26" s="81">
        <v>22</v>
      </c>
      <c r="D26" s="67" t="s">
        <v>261</v>
      </c>
      <c r="E26" s="68" t="s">
        <v>289</v>
      </c>
      <c r="F26" s="69"/>
      <c r="G26" s="87">
        <f t="shared" si="0"/>
        <v>1</v>
      </c>
      <c r="H26" s="87">
        <f t="shared" si="1"/>
        <v>0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>
        <v>1</v>
      </c>
      <c r="Y26" s="70"/>
      <c r="Z26" s="70"/>
      <c r="AA26" s="70"/>
      <c r="AB26" s="70"/>
      <c r="AC26" s="70"/>
      <c r="AD26" s="70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>
        <v>0</v>
      </c>
      <c r="AS26" s="146"/>
      <c r="AT26" s="146"/>
      <c r="AU26" s="146"/>
      <c r="AV26" s="146"/>
      <c r="AW26" s="146"/>
      <c r="AX26" s="146"/>
      <c r="AY26" s="249"/>
      <c r="AZ26" s="249"/>
      <c r="BA26" s="249"/>
      <c r="BB26" s="249"/>
      <c r="BC26" s="249"/>
      <c r="BD26" s="249"/>
      <c r="BE26" s="249"/>
      <c r="BF26" s="249"/>
      <c r="BG26" s="249"/>
      <c r="BH26" s="249"/>
      <c r="BI26" s="249"/>
      <c r="BJ26" s="249"/>
      <c r="BK26" s="249"/>
      <c r="BL26" s="249">
        <v>0</v>
      </c>
      <c r="BM26" s="249"/>
      <c r="BN26" s="249"/>
      <c r="BO26" s="250"/>
      <c r="BP26" s="249"/>
      <c r="BQ26" s="249"/>
      <c r="BR26" s="249"/>
    </row>
    <row r="27" spans="1:70" ht="16.5" x14ac:dyDescent="0.2">
      <c r="A27" s="91"/>
      <c r="B27" s="120" t="s">
        <v>214</v>
      </c>
      <c r="C27" s="81">
        <v>23</v>
      </c>
      <c r="D27" s="67" t="s">
        <v>262</v>
      </c>
      <c r="E27" s="68" t="s">
        <v>289</v>
      </c>
      <c r="F27" s="69"/>
      <c r="G27" s="87">
        <f t="shared" si="0"/>
        <v>16</v>
      </c>
      <c r="H27" s="87">
        <f t="shared" si="1"/>
        <v>16</v>
      </c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>
        <v>16</v>
      </c>
      <c r="Y27" s="70"/>
      <c r="Z27" s="70"/>
      <c r="AA27" s="70"/>
      <c r="AB27" s="70"/>
      <c r="AC27" s="70"/>
      <c r="AD27" s="70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>
        <v>16</v>
      </c>
      <c r="AS27" s="146"/>
      <c r="AT27" s="146"/>
      <c r="AU27" s="146"/>
      <c r="AV27" s="146"/>
      <c r="AW27" s="146"/>
      <c r="AX27" s="146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>
        <v>7</v>
      </c>
      <c r="BM27" s="249"/>
      <c r="BN27" s="249"/>
      <c r="BO27" s="250"/>
      <c r="BP27" s="249"/>
      <c r="BQ27" s="249"/>
      <c r="BR27" s="249"/>
    </row>
    <row r="28" spans="1:70" ht="16.5" x14ac:dyDescent="0.2">
      <c r="A28" s="91"/>
      <c r="B28" s="120" t="s">
        <v>355</v>
      </c>
      <c r="C28" s="81">
        <v>24</v>
      </c>
      <c r="D28" s="67" t="s">
        <v>359</v>
      </c>
      <c r="E28" s="68" t="s">
        <v>289</v>
      </c>
      <c r="F28" s="69"/>
      <c r="G28" s="87">
        <f t="shared" si="0"/>
        <v>1</v>
      </c>
      <c r="H28" s="87">
        <f t="shared" si="1"/>
        <v>0</v>
      </c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>
        <v>1</v>
      </c>
      <c r="Y28" s="70"/>
      <c r="Z28" s="70"/>
      <c r="AA28" s="70"/>
      <c r="AB28" s="70"/>
      <c r="AC28" s="70"/>
      <c r="AD28" s="70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>
        <v>0</v>
      </c>
      <c r="AS28" s="146"/>
      <c r="AT28" s="146"/>
      <c r="AU28" s="146"/>
      <c r="AV28" s="146"/>
      <c r="AW28" s="146"/>
      <c r="AX28" s="146"/>
      <c r="AY28" s="249"/>
      <c r="AZ28" s="249"/>
      <c r="BA28" s="249"/>
      <c r="BB28" s="249"/>
      <c r="BC28" s="249"/>
      <c r="BD28" s="249"/>
      <c r="BE28" s="249"/>
      <c r="BF28" s="249"/>
      <c r="BG28" s="249"/>
      <c r="BH28" s="249"/>
      <c r="BI28" s="249"/>
      <c r="BJ28" s="249"/>
      <c r="BK28" s="249"/>
      <c r="BL28" s="249">
        <v>1</v>
      </c>
      <c r="BM28" s="249"/>
      <c r="BN28" s="249"/>
      <c r="BO28" s="250"/>
      <c r="BP28" s="249"/>
      <c r="BQ28" s="249"/>
      <c r="BR28" s="249"/>
    </row>
    <row r="29" spans="1:70" ht="24.75" x14ac:dyDescent="0.2">
      <c r="A29" s="91"/>
      <c r="B29" s="120" t="s">
        <v>215</v>
      </c>
      <c r="C29" s="81">
        <v>25</v>
      </c>
      <c r="D29" s="67" t="s">
        <v>263</v>
      </c>
      <c r="E29" s="68" t="s">
        <v>289</v>
      </c>
      <c r="F29" s="69"/>
      <c r="G29" s="87">
        <f t="shared" si="0"/>
        <v>200</v>
      </c>
      <c r="H29" s="87">
        <f t="shared" si="1"/>
        <v>250</v>
      </c>
      <c r="I29" s="70"/>
      <c r="J29" s="70">
        <v>200</v>
      </c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146"/>
      <c r="AF29" s="146">
        <v>250</v>
      </c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249"/>
      <c r="AZ29" s="249">
        <v>352</v>
      </c>
      <c r="BA29" s="249"/>
      <c r="BB29" s="249"/>
      <c r="BC29" s="249"/>
      <c r="BD29" s="249"/>
      <c r="BE29" s="249"/>
      <c r="BF29" s="250"/>
      <c r="BG29" s="249"/>
      <c r="BH29" s="249"/>
      <c r="BI29" s="249"/>
      <c r="BJ29" s="249"/>
      <c r="BK29" s="249"/>
      <c r="BL29" s="249"/>
      <c r="BM29" s="249"/>
      <c r="BN29" s="249"/>
      <c r="BO29" s="249"/>
      <c r="BP29" s="249"/>
      <c r="BQ29" s="249"/>
      <c r="BR29" s="249"/>
    </row>
    <row r="30" spans="1:70" ht="24.75" x14ac:dyDescent="0.2">
      <c r="A30" s="91"/>
      <c r="B30" s="120" t="s">
        <v>343</v>
      </c>
      <c r="C30" s="81">
        <v>26</v>
      </c>
      <c r="D30" s="67" t="s">
        <v>360</v>
      </c>
      <c r="E30" s="68" t="s">
        <v>289</v>
      </c>
      <c r="F30" s="69"/>
      <c r="G30" s="87">
        <f t="shared" si="0"/>
        <v>5</v>
      </c>
      <c r="H30" s="87">
        <f t="shared" si="1"/>
        <v>4</v>
      </c>
      <c r="I30" s="70">
        <v>5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146">
        <v>4</v>
      </c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249">
        <v>1</v>
      </c>
      <c r="AZ30" s="249"/>
      <c r="BA30" s="249"/>
      <c r="BB30" s="249"/>
      <c r="BC30" s="249"/>
      <c r="BD30" s="249"/>
      <c r="BE30" s="249"/>
      <c r="BF30" s="250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</row>
    <row r="31" spans="1:70" ht="24.75" x14ac:dyDescent="0.2">
      <c r="A31" s="91"/>
      <c r="B31" s="120" t="s">
        <v>216</v>
      </c>
      <c r="C31" s="81">
        <v>27</v>
      </c>
      <c r="D31" s="67" t="s">
        <v>264</v>
      </c>
      <c r="E31" s="68" t="s">
        <v>289</v>
      </c>
      <c r="F31" s="69"/>
      <c r="G31" s="87">
        <f t="shared" si="0"/>
        <v>268</v>
      </c>
      <c r="H31" s="87">
        <f t="shared" si="1"/>
        <v>308</v>
      </c>
      <c r="I31" s="70">
        <v>18</v>
      </c>
      <c r="J31" s="70">
        <v>250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146">
        <v>18</v>
      </c>
      <c r="AF31" s="146">
        <v>290</v>
      </c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249">
        <v>17</v>
      </c>
      <c r="AZ31" s="249">
        <v>420</v>
      </c>
      <c r="BA31" s="249"/>
      <c r="BB31" s="249"/>
      <c r="BC31" s="249"/>
      <c r="BD31" s="249"/>
      <c r="BE31" s="249"/>
      <c r="BF31" s="250"/>
      <c r="BG31" s="249"/>
      <c r="BH31" s="249"/>
      <c r="BI31" s="249"/>
      <c r="BJ31" s="249"/>
      <c r="BK31" s="249"/>
      <c r="BL31" s="249"/>
      <c r="BM31" s="249"/>
      <c r="BN31" s="249"/>
      <c r="BO31" s="249"/>
      <c r="BP31" s="249"/>
      <c r="BQ31" s="249"/>
      <c r="BR31" s="249"/>
    </row>
    <row r="32" spans="1:70" ht="24.75" x14ac:dyDescent="0.2">
      <c r="A32" s="91"/>
      <c r="B32" s="120" t="s">
        <v>217</v>
      </c>
      <c r="C32" s="81">
        <v>28</v>
      </c>
      <c r="D32" s="67" t="s">
        <v>265</v>
      </c>
      <c r="E32" s="68" t="s">
        <v>289</v>
      </c>
      <c r="F32" s="69"/>
      <c r="G32" s="87">
        <f t="shared" si="0"/>
        <v>52</v>
      </c>
      <c r="H32" s="87">
        <f t="shared" si="1"/>
        <v>48</v>
      </c>
      <c r="I32" s="70">
        <v>52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146">
        <v>48</v>
      </c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250">
        <v>133</v>
      </c>
      <c r="AZ32" s="249"/>
      <c r="BA32" s="249"/>
      <c r="BB32" s="249"/>
      <c r="BC32" s="249"/>
      <c r="BD32" s="249"/>
      <c r="BE32" s="249"/>
      <c r="BF32" s="250"/>
      <c r="BG32" s="249"/>
      <c r="BH32" s="249"/>
      <c r="BI32" s="249"/>
      <c r="BJ32" s="249"/>
      <c r="BK32" s="249"/>
      <c r="BL32" s="249"/>
      <c r="BM32" s="249"/>
      <c r="BN32" s="249"/>
      <c r="BO32" s="249"/>
      <c r="BP32" s="249"/>
      <c r="BQ32" s="249"/>
      <c r="BR32" s="249"/>
    </row>
    <row r="33" spans="1:70" ht="16.5" x14ac:dyDescent="0.2">
      <c r="A33" s="91"/>
      <c r="B33" s="120" t="s">
        <v>218</v>
      </c>
      <c r="C33" s="81">
        <v>29</v>
      </c>
      <c r="D33" s="67" t="s">
        <v>266</v>
      </c>
      <c r="E33" s="68" t="s">
        <v>289</v>
      </c>
      <c r="F33" s="69"/>
      <c r="G33" s="87">
        <f t="shared" si="0"/>
        <v>146</v>
      </c>
      <c r="H33" s="87">
        <f t="shared" si="1"/>
        <v>149</v>
      </c>
      <c r="I33" s="70">
        <v>26</v>
      </c>
      <c r="J33" s="70">
        <v>120</v>
      </c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146">
        <v>19</v>
      </c>
      <c r="AF33" s="146">
        <v>130</v>
      </c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249">
        <v>29</v>
      </c>
      <c r="AZ33" s="249">
        <v>280</v>
      </c>
      <c r="BA33" s="249"/>
      <c r="BB33" s="249"/>
      <c r="BC33" s="249"/>
      <c r="BD33" s="249"/>
      <c r="BE33" s="249"/>
      <c r="BF33" s="250"/>
      <c r="BG33" s="249"/>
      <c r="BH33" s="249"/>
      <c r="BI33" s="249"/>
      <c r="BJ33" s="249"/>
      <c r="BK33" s="249"/>
      <c r="BL33" s="249"/>
      <c r="BM33" s="249"/>
      <c r="BN33" s="249"/>
      <c r="BO33" s="249"/>
      <c r="BP33" s="249"/>
      <c r="BQ33" s="249"/>
      <c r="BR33" s="249"/>
    </row>
    <row r="34" spans="1:70" ht="16.5" x14ac:dyDescent="0.2">
      <c r="A34" s="91"/>
      <c r="B34" s="120" t="s">
        <v>219</v>
      </c>
      <c r="C34" s="81">
        <v>30</v>
      </c>
      <c r="D34" s="67" t="s">
        <v>267</v>
      </c>
      <c r="E34" s="68" t="s">
        <v>289</v>
      </c>
      <c r="F34" s="69"/>
      <c r="G34" s="87">
        <f t="shared" si="0"/>
        <v>12</v>
      </c>
      <c r="H34" s="87">
        <f t="shared" si="1"/>
        <v>9</v>
      </c>
      <c r="I34" s="70">
        <v>12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146">
        <v>9</v>
      </c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249">
        <v>13</v>
      </c>
      <c r="AZ34" s="249"/>
      <c r="BA34" s="249"/>
      <c r="BB34" s="249"/>
      <c r="BC34" s="249"/>
      <c r="BD34" s="249"/>
      <c r="BE34" s="249"/>
      <c r="BF34" s="250"/>
      <c r="BG34" s="249"/>
      <c r="BH34" s="249"/>
      <c r="BI34" s="249"/>
      <c r="BJ34" s="249"/>
      <c r="BK34" s="249"/>
      <c r="BL34" s="249"/>
      <c r="BM34" s="249"/>
      <c r="BN34" s="249"/>
      <c r="BO34" s="249"/>
      <c r="BP34" s="249"/>
      <c r="BQ34" s="249"/>
      <c r="BR34" s="249"/>
    </row>
    <row r="35" spans="1:70" ht="16.5" x14ac:dyDescent="0.2">
      <c r="A35" s="91"/>
      <c r="B35" s="120" t="s">
        <v>220</v>
      </c>
      <c r="C35" s="81">
        <v>31</v>
      </c>
      <c r="D35" s="67" t="s">
        <v>268</v>
      </c>
      <c r="E35" s="68" t="s">
        <v>289</v>
      </c>
      <c r="F35" s="69"/>
      <c r="G35" s="87">
        <f t="shared" si="0"/>
        <v>0</v>
      </c>
      <c r="H35" s="87">
        <f t="shared" si="1"/>
        <v>0</v>
      </c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249"/>
      <c r="AZ35" s="249"/>
      <c r="BA35" s="249"/>
      <c r="BB35" s="249"/>
      <c r="BC35" s="249"/>
      <c r="BD35" s="249"/>
      <c r="BE35" s="249"/>
      <c r="BF35" s="250"/>
      <c r="BG35" s="249"/>
      <c r="BH35" s="249"/>
      <c r="BI35" s="249"/>
      <c r="BJ35" s="249"/>
      <c r="BK35" s="249"/>
      <c r="BL35" s="249"/>
      <c r="BM35" s="249"/>
      <c r="BN35" s="249"/>
      <c r="BO35" s="249"/>
      <c r="BP35" s="249"/>
      <c r="BQ35" s="249"/>
      <c r="BR35" s="249"/>
    </row>
    <row r="36" spans="1:70" ht="15" customHeight="1" x14ac:dyDescent="0.2">
      <c r="A36" s="91"/>
      <c r="B36" s="120" t="s">
        <v>221</v>
      </c>
      <c r="C36" s="81">
        <v>32</v>
      </c>
      <c r="D36" s="67" t="s">
        <v>269</v>
      </c>
      <c r="E36" s="68" t="s">
        <v>289</v>
      </c>
      <c r="F36" s="69"/>
      <c r="G36" s="87">
        <f t="shared" si="0"/>
        <v>7</v>
      </c>
      <c r="H36" s="87">
        <f t="shared" si="1"/>
        <v>7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>
        <v>7</v>
      </c>
      <c r="Y36" s="70"/>
      <c r="Z36" s="70"/>
      <c r="AA36" s="70"/>
      <c r="AB36" s="70"/>
      <c r="AC36" s="70"/>
      <c r="AD36" s="70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>
        <v>7</v>
      </c>
      <c r="AS36" s="146"/>
      <c r="AT36" s="146"/>
      <c r="AU36" s="146"/>
      <c r="AV36" s="146"/>
      <c r="AW36" s="146"/>
      <c r="AX36" s="146"/>
      <c r="AY36" s="249"/>
      <c r="AZ36" s="249"/>
      <c r="BA36" s="249"/>
      <c r="BB36" s="249"/>
      <c r="BC36" s="249"/>
      <c r="BD36" s="249"/>
      <c r="BE36" s="249"/>
      <c r="BF36" s="250"/>
      <c r="BG36" s="249"/>
      <c r="BH36" s="249"/>
      <c r="BI36" s="249"/>
      <c r="BJ36" s="249"/>
      <c r="BK36" s="249"/>
      <c r="BL36" s="249">
        <v>6</v>
      </c>
      <c r="BM36" s="249"/>
      <c r="BN36" s="249"/>
      <c r="BO36" s="249"/>
      <c r="BP36" s="249"/>
      <c r="BQ36" s="249"/>
      <c r="BR36" s="249"/>
    </row>
    <row r="37" spans="1:70" ht="15" customHeight="1" x14ac:dyDescent="0.2">
      <c r="A37" s="91"/>
      <c r="B37" s="120" t="s">
        <v>222</v>
      </c>
      <c r="C37" s="81">
        <v>33</v>
      </c>
      <c r="D37" s="67" t="s">
        <v>270</v>
      </c>
      <c r="E37" s="68" t="s">
        <v>289</v>
      </c>
      <c r="F37" s="69"/>
      <c r="G37" s="87">
        <f t="shared" si="0"/>
        <v>0</v>
      </c>
      <c r="H37" s="87">
        <f t="shared" si="1"/>
        <v>0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249"/>
      <c r="AZ37" s="249"/>
      <c r="BA37" s="249"/>
      <c r="BB37" s="249"/>
      <c r="BC37" s="249"/>
      <c r="BD37" s="249"/>
      <c r="BE37" s="249"/>
      <c r="BF37" s="250"/>
      <c r="BG37" s="249"/>
      <c r="BH37" s="249"/>
      <c r="BI37" s="249"/>
      <c r="BJ37" s="249"/>
      <c r="BK37" s="249"/>
      <c r="BL37" s="249"/>
      <c r="BM37" s="249"/>
      <c r="BN37" s="249"/>
      <c r="BO37" s="249"/>
      <c r="BP37" s="249"/>
      <c r="BQ37" s="249"/>
      <c r="BR37" s="249"/>
    </row>
    <row r="38" spans="1:70" ht="15" customHeight="1" x14ac:dyDescent="0.2">
      <c r="A38" s="91"/>
      <c r="B38" s="120" t="s">
        <v>223</v>
      </c>
      <c r="C38" s="81">
        <v>34</v>
      </c>
      <c r="D38" s="67" t="s">
        <v>254</v>
      </c>
      <c r="E38" s="68" t="s">
        <v>289</v>
      </c>
      <c r="F38" s="69"/>
      <c r="G38" s="87">
        <f t="shared" si="0"/>
        <v>1</v>
      </c>
      <c r="H38" s="87">
        <f t="shared" si="1"/>
        <v>1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>
        <v>1</v>
      </c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146"/>
      <c r="AF38" s="146"/>
      <c r="AG38" s="146"/>
      <c r="AH38" s="146"/>
      <c r="AI38" s="146"/>
      <c r="AJ38" s="146"/>
      <c r="AK38" s="146"/>
      <c r="AL38" s="146"/>
      <c r="AM38" s="146">
        <v>1</v>
      </c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249"/>
      <c r="AZ38" s="249"/>
      <c r="BA38" s="249"/>
      <c r="BB38" s="249"/>
      <c r="BC38" s="249"/>
      <c r="BD38" s="249"/>
      <c r="BE38" s="249"/>
      <c r="BF38" s="250"/>
      <c r="BG38" s="249">
        <v>1</v>
      </c>
      <c r="BH38" s="249"/>
      <c r="BI38" s="249"/>
      <c r="BJ38" s="249"/>
      <c r="BK38" s="249"/>
      <c r="BL38" s="249"/>
      <c r="BM38" s="249"/>
      <c r="BN38" s="249"/>
      <c r="BO38" s="249"/>
      <c r="BP38" s="249"/>
      <c r="BQ38" s="249"/>
      <c r="BR38" s="249"/>
    </row>
    <row r="39" spans="1:70" ht="15" customHeight="1" x14ac:dyDescent="0.2">
      <c r="A39" s="91"/>
      <c r="B39" s="120" t="s">
        <v>224</v>
      </c>
      <c r="C39" s="81">
        <v>35</v>
      </c>
      <c r="D39" s="67" t="s">
        <v>271</v>
      </c>
      <c r="E39" s="68" t="s">
        <v>291</v>
      </c>
      <c r="F39" s="69"/>
      <c r="G39" s="87">
        <f t="shared" si="0"/>
        <v>8</v>
      </c>
      <c r="H39" s="87">
        <f t="shared" si="1"/>
        <v>10</v>
      </c>
      <c r="I39" s="70"/>
      <c r="J39" s="70">
        <v>8</v>
      </c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146"/>
      <c r="AF39" s="146">
        <v>10</v>
      </c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249"/>
      <c r="AZ39" s="249">
        <v>11</v>
      </c>
      <c r="BA39" s="249"/>
      <c r="BB39" s="249"/>
      <c r="BC39" s="249"/>
      <c r="BD39" s="249"/>
      <c r="BE39" s="249"/>
      <c r="BF39" s="250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49"/>
      <c r="BR39" s="249"/>
    </row>
    <row r="40" spans="1:70" ht="15" customHeight="1" x14ac:dyDescent="0.2">
      <c r="A40" s="91"/>
      <c r="B40" s="120" t="s">
        <v>225</v>
      </c>
      <c r="C40" s="81">
        <v>36</v>
      </c>
      <c r="D40" s="67" t="s">
        <v>272</v>
      </c>
      <c r="E40" s="68" t="s">
        <v>289</v>
      </c>
      <c r="F40" s="69"/>
      <c r="G40" s="87">
        <f t="shared" si="0"/>
        <v>0</v>
      </c>
      <c r="H40" s="87">
        <f t="shared" si="1"/>
        <v>0</v>
      </c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249"/>
      <c r="AZ40" s="249"/>
      <c r="BA40" s="249"/>
      <c r="BB40" s="249"/>
      <c r="BC40" s="249"/>
      <c r="BD40" s="249"/>
      <c r="BE40" s="249"/>
      <c r="BF40" s="250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49"/>
      <c r="BR40" s="249"/>
    </row>
    <row r="41" spans="1:70" x14ac:dyDescent="0.2">
      <c r="A41" s="91"/>
      <c r="B41" s="120" t="s">
        <v>226</v>
      </c>
      <c r="C41" s="81">
        <v>37</v>
      </c>
      <c r="D41" s="67" t="s">
        <v>273</v>
      </c>
      <c r="E41" s="68" t="s">
        <v>289</v>
      </c>
      <c r="F41" s="69"/>
      <c r="G41" s="87">
        <f t="shared" si="0"/>
        <v>4</v>
      </c>
      <c r="H41" s="87">
        <f t="shared" si="1"/>
        <v>4</v>
      </c>
      <c r="I41" s="70"/>
      <c r="J41" s="70">
        <v>4</v>
      </c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70"/>
      <c r="AC41" s="70"/>
      <c r="AD41" s="70"/>
      <c r="AE41" s="146"/>
      <c r="AF41" s="146">
        <v>4</v>
      </c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249"/>
      <c r="AZ41" s="249">
        <v>8</v>
      </c>
      <c r="BA41" s="249"/>
      <c r="BB41" s="249"/>
      <c r="BC41" s="249"/>
      <c r="BD41" s="249"/>
      <c r="BE41" s="249"/>
      <c r="BF41" s="250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49"/>
      <c r="BR41" s="249"/>
    </row>
    <row r="42" spans="1:70" x14ac:dyDescent="0.2">
      <c r="B42" s="120" t="s">
        <v>356</v>
      </c>
      <c r="C42" s="121">
        <v>38</v>
      </c>
      <c r="D42" s="67" t="s">
        <v>361</v>
      </c>
      <c r="E42" s="68" t="s">
        <v>289</v>
      </c>
      <c r="G42" s="87">
        <f t="shared" si="0"/>
        <v>1</v>
      </c>
      <c r="H42" s="87">
        <f t="shared" si="1"/>
        <v>1</v>
      </c>
      <c r="I42" s="70"/>
      <c r="J42" s="70">
        <v>1</v>
      </c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146"/>
      <c r="AF42" s="146">
        <v>1</v>
      </c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249"/>
      <c r="AZ42" s="249">
        <v>1</v>
      </c>
      <c r="BA42" s="249"/>
      <c r="BB42" s="249"/>
      <c r="BC42" s="249"/>
      <c r="BD42" s="249"/>
      <c r="BE42" s="249"/>
      <c r="BF42" s="250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49"/>
      <c r="BR42" s="249"/>
    </row>
    <row r="43" spans="1:70" x14ac:dyDescent="0.2">
      <c r="B43" s="120" t="s">
        <v>227</v>
      </c>
      <c r="C43" s="121">
        <v>39</v>
      </c>
      <c r="D43" s="67" t="s">
        <v>274</v>
      </c>
      <c r="E43" s="68" t="s">
        <v>289</v>
      </c>
      <c r="G43" s="87">
        <f t="shared" si="0"/>
        <v>1</v>
      </c>
      <c r="H43" s="87">
        <f t="shared" si="1"/>
        <v>1</v>
      </c>
      <c r="I43" s="70">
        <v>1</v>
      </c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146">
        <v>1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249">
        <v>1</v>
      </c>
      <c r="AZ43" s="249"/>
      <c r="BA43" s="249"/>
      <c r="BB43" s="249"/>
      <c r="BC43" s="249"/>
      <c r="BD43" s="249"/>
      <c r="BE43" s="249"/>
      <c r="BF43" s="250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49"/>
      <c r="BR43" s="249"/>
    </row>
    <row r="44" spans="1:70" x14ac:dyDescent="0.2">
      <c r="B44" s="120" t="s">
        <v>228</v>
      </c>
      <c r="C44" s="121">
        <v>40</v>
      </c>
      <c r="D44" s="67" t="s">
        <v>275</v>
      </c>
      <c r="E44" s="68" t="s">
        <v>292</v>
      </c>
      <c r="G44" s="87">
        <f t="shared" si="0"/>
        <v>0</v>
      </c>
      <c r="H44" s="87">
        <f t="shared" si="1"/>
        <v>0</v>
      </c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249"/>
      <c r="AZ44" s="249"/>
      <c r="BA44" s="249"/>
      <c r="BB44" s="249"/>
      <c r="BC44" s="249"/>
      <c r="BD44" s="249"/>
      <c r="BE44" s="250"/>
      <c r="BF44" s="249"/>
      <c r="BG44" s="249"/>
      <c r="BH44" s="250"/>
      <c r="BI44" s="249"/>
      <c r="BJ44" s="249"/>
      <c r="BK44" s="249"/>
      <c r="BL44" s="249"/>
      <c r="BM44" s="249"/>
      <c r="BN44" s="249"/>
      <c r="BO44" s="249"/>
      <c r="BP44" s="249"/>
      <c r="BQ44" s="249"/>
      <c r="BR44" s="249"/>
    </row>
    <row r="45" spans="1:70" x14ac:dyDescent="0.2">
      <c r="B45" s="120" t="s">
        <v>229</v>
      </c>
      <c r="C45" s="121">
        <v>41</v>
      </c>
      <c r="D45" s="67" t="s">
        <v>276</v>
      </c>
      <c r="E45" s="68" t="s">
        <v>289</v>
      </c>
      <c r="G45" s="87">
        <f t="shared" si="0"/>
        <v>0</v>
      </c>
      <c r="H45" s="87">
        <f t="shared" si="1"/>
        <v>0</v>
      </c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249"/>
      <c r="AZ45" s="249"/>
      <c r="BA45" s="249"/>
      <c r="BB45" s="249"/>
      <c r="BC45" s="249"/>
      <c r="BD45" s="249"/>
      <c r="BE45" s="250"/>
      <c r="BF45" s="249">
        <v>0</v>
      </c>
      <c r="BG45" s="249"/>
      <c r="BH45" s="250"/>
      <c r="BI45" s="249"/>
      <c r="BJ45" s="249"/>
      <c r="BK45" s="249"/>
      <c r="BL45" s="249"/>
      <c r="BM45" s="249"/>
      <c r="BN45" s="249"/>
      <c r="BO45" s="249"/>
      <c r="BP45" s="249"/>
      <c r="BQ45" s="249"/>
      <c r="BR45" s="249"/>
    </row>
    <row r="46" spans="1:70" x14ac:dyDescent="0.2">
      <c r="B46" s="120" t="s">
        <v>230</v>
      </c>
      <c r="C46" s="121">
        <v>42</v>
      </c>
      <c r="D46" s="67" t="s">
        <v>277</v>
      </c>
      <c r="E46" s="68" t="s">
        <v>289</v>
      </c>
      <c r="G46" s="87">
        <f t="shared" si="0"/>
        <v>0</v>
      </c>
      <c r="H46" s="87">
        <f t="shared" si="1"/>
        <v>2</v>
      </c>
      <c r="I46" s="70"/>
      <c r="J46" s="70"/>
      <c r="K46" s="70"/>
      <c r="L46" s="70"/>
      <c r="M46" s="70"/>
      <c r="N46" s="70"/>
      <c r="O46" s="70"/>
      <c r="P46" s="70"/>
      <c r="Q46" s="70">
        <v>0</v>
      </c>
      <c r="R46" s="70">
        <v>0</v>
      </c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146"/>
      <c r="AF46" s="146"/>
      <c r="AG46" s="146"/>
      <c r="AH46" s="146"/>
      <c r="AI46" s="146"/>
      <c r="AJ46" s="146"/>
      <c r="AK46" s="146">
        <v>1</v>
      </c>
      <c r="AL46" s="146">
        <v>1</v>
      </c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249"/>
      <c r="AZ46" s="249"/>
      <c r="BA46" s="249"/>
      <c r="BB46" s="249"/>
      <c r="BC46" s="249"/>
      <c r="BD46" s="249"/>
      <c r="BE46" s="250">
        <v>0</v>
      </c>
      <c r="BF46" s="249">
        <v>1</v>
      </c>
      <c r="BG46" s="249"/>
      <c r="BH46" s="250"/>
      <c r="BI46" s="249"/>
      <c r="BJ46" s="249"/>
      <c r="BK46" s="249"/>
      <c r="BL46" s="249"/>
      <c r="BM46" s="249"/>
      <c r="BN46" s="249"/>
      <c r="BO46" s="249"/>
      <c r="BP46" s="249"/>
      <c r="BQ46" s="249"/>
      <c r="BR46" s="249"/>
    </row>
    <row r="47" spans="1:70" ht="16.5" x14ac:dyDescent="0.2">
      <c r="B47" s="120" t="s">
        <v>231</v>
      </c>
      <c r="C47" s="121">
        <v>43</v>
      </c>
      <c r="D47" s="67" t="s">
        <v>278</v>
      </c>
      <c r="E47" s="68" t="s">
        <v>289</v>
      </c>
      <c r="G47" s="87">
        <f t="shared" si="0"/>
        <v>3</v>
      </c>
      <c r="H47" s="87">
        <f t="shared" si="1"/>
        <v>3</v>
      </c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>
        <v>3</v>
      </c>
      <c r="V47" s="70"/>
      <c r="W47" s="70"/>
      <c r="X47" s="70"/>
      <c r="Y47" s="70"/>
      <c r="Z47" s="70"/>
      <c r="AA47" s="70"/>
      <c r="AB47" s="70"/>
      <c r="AC47" s="70"/>
      <c r="AD47" s="70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>
        <v>3</v>
      </c>
      <c r="AP47" s="146"/>
      <c r="AQ47" s="146"/>
      <c r="AR47" s="146"/>
      <c r="AS47" s="146"/>
      <c r="AT47" s="146"/>
      <c r="AU47" s="146"/>
      <c r="AV47" s="146"/>
      <c r="AW47" s="146"/>
      <c r="AX47" s="146"/>
      <c r="AY47" s="249"/>
      <c r="AZ47" s="249"/>
      <c r="BA47" s="249"/>
      <c r="BB47" s="249"/>
      <c r="BC47" s="249"/>
      <c r="BD47" s="249"/>
      <c r="BE47" s="250"/>
      <c r="BF47" s="249"/>
      <c r="BG47" s="249"/>
      <c r="BH47" s="250"/>
      <c r="BI47" s="249">
        <v>3</v>
      </c>
      <c r="BJ47" s="249"/>
      <c r="BK47" s="249"/>
      <c r="BL47" s="249"/>
      <c r="BM47" s="249"/>
      <c r="BN47" s="249"/>
      <c r="BO47" s="249"/>
      <c r="BP47" s="249"/>
      <c r="BQ47" s="249"/>
      <c r="BR47" s="249"/>
    </row>
    <row r="48" spans="1:70" ht="33" x14ac:dyDescent="0.2">
      <c r="B48" s="120" t="s">
        <v>232</v>
      </c>
      <c r="C48" s="121">
        <v>44</v>
      </c>
      <c r="D48" s="67" t="s">
        <v>279</v>
      </c>
      <c r="E48" s="68" t="s">
        <v>289</v>
      </c>
      <c r="G48" s="87">
        <f t="shared" si="0"/>
        <v>2</v>
      </c>
      <c r="H48" s="87">
        <f t="shared" si="1"/>
        <v>1</v>
      </c>
      <c r="I48" s="70"/>
      <c r="J48" s="70"/>
      <c r="K48" s="70">
        <v>1</v>
      </c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v>1</v>
      </c>
      <c r="AB48" s="70"/>
      <c r="AC48" s="70"/>
      <c r="AD48" s="70"/>
      <c r="AE48" s="146"/>
      <c r="AF48" s="146"/>
      <c r="AG48" s="146">
        <v>1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>
        <v>0</v>
      </c>
      <c r="AV48" s="146"/>
      <c r="AW48" s="146"/>
      <c r="AX48" s="146"/>
      <c r="AY48" s="249"/>
      <c r="AZ48" s="249"/>
      <c r="BA48" s="249">
        <v>1</v>
      </c>
      <c r="BB48" s="249"/>
      <c r="BC48" s="249"/>
      <c r="BD48" s="249"/>
      <c r="BE48" s="250"/>
      <c r="BF48" s="249"/>
      <c r="BG48" s="249"/>
      <c r="BH48" s="250"/>
      <c r="BI48" s="249"/>
      <c r="BJ48" s="249"/>
      <c r="BK48" s="249"/>
      <c r="BL48" s="249"/>
      <c r="BM48" s="249"/>
      <c r="BN48" s="249"/>
      <c r="BO48" s="249">
        <v>0</v>
      </c>
      <c r="BP48" s="249"/>
      <c r="BQ48" s="249"/>
      <c r="BR48" s="249"/>
    </row>
    <row r="49" spans="2:70" ht="16.5" x14ac:dyDescent="0.2">
      <c r="B49" s="120" t="s">
        <v>233</v>
      </c>
      <c r="C49" s="121">
        <v>45</v>
      </c>
      <c r="D49" s="67" t="s">
        <v>280</v>
      </c>
      <c r="E49" s="68" t="s">
        <v>289</v>
      </c>
      <c r="G49" s="87">
        <f t="shared" si="0"/>
        <v>0</v>
      </c>
      <c r="H49" s="87">
        <f t="shared" si="1"/>
        <v>0</v>
      </c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249"/>
      <c r="AZ49" s="249"/>
      <c r="BA49" s="249"/>
      <c r="BB49" s="249"/>
      <c r="BC49" s="249"/>
      <c r="BD49" s="249"/>
      <c r="BE49" s="250"/>
      <c r="BF49" s="249"/>
      <c r="BG49" s="249"/>
      <c r="BH49" s="250"/>
      <c r="BI49" s="249"/>
      <c r="BJ49" s="249"/>
      <c r="BK49" s="249"/>
      <c r="BL49" s="249"/>
      <c r="BM49" s="249"/>
      <c r="BN49" s="249"/>
      <c r="BO49" s="249"/>
      <c r="BP49" s="249"/>
      <c r="BQ49" s="249"/>
      <c r="BR49" s="249"/>
    </row>
    <row r="50" spans="2:70" ht="16.5" x14ac:dyDescent="0.2">
      <c r="B50" s="120" t="s">
        <v>234</v>
      </c>
      <c r="C50" s="121">
        <v>46</v>
      </c>
      <c r="D50" s="67" t="s">
        <v>281</v>
      </c>
      <c r="E50" s="68" t="s">
        <v>289</v>
      </c>
      <c r="G50" s="87">
        <f t="shared" si="0"/>
        <v>0</v>
      </c>
      <c r="H50" s="87">
        <f t="shared" si="1"/>
        <v>0</v>
      </c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249"/>
      <c r="AZ50" s="249"/>
      <c r="BA50" s="249"/>
      <c r="BB50" s="249"/>
      <c r="BC50" s="249"/>
      <c r="BD50" s="249"/>
      <c r="BE50" s="250"/>
      <c r="BF50" s="249"/>
      <c r="BG50" s="249"/>
      <c r="BH50" s="250"/>
      <c r="BI50" s="249"/>
      <c r="BJ50" s="249"/>
      <c r="BK50" s="249"/>
      <c r="BL50" s="249"/>
      <c r="BM50" s="249"/>
      <c r="BN50" s="249"/>
      <c r="BO50" s="249"/>
      <c r="BP50" s="249"/>
      <c r="BQ50" s="249"/>
      <c r="BR50" s="249"/>
    </row>
    <row r="51" spans="2:70" x14ac:dyDescent="0.2">
      <c r="B51" s="120" t="s">
        <v>235</v>
      </c>
      <c r="C51" s="121">
        <v>47</v>
      </c>
      <c r="D51" s="67" t="s">
        <v>282</v>
      </c>
      <c r="E51" s="68" t="s">
        <v>289</v>
      </c>
      <c r="G51" s="87">
        <f t="shared" si="0"/>
        <v>5</v>
      </c>
      <c r="H51" s="87">
        <f t="shared" si="1"/>
        <v>4</v>
      </c>
      <c r="I51" s="70"/>
      <c r="J51" s="70"/>
      <c r="K51" s="70"/>
      <c r="L51" s="70"/>
      <c r="M51" s="70"/>
      <c r="N51" s="70"/>
      <c r="O51" s="70">
        <v>3</v>
      </c>
      <c r="P51" s="70"/>
      <c r="Q51" s="70">
        <v>1</v>
      </c>
      <c r="R51" s="70">
        <v>1</v>
      </c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146"/>
      <c r="AF51" s="146"/>
      <c r="AG51" s="146"/>
      <c r="AH51" s="146"/>
      <c r="AI51" s="146"/>
      <c r="AJ51" s="146">
        <v>2</v>
      </c>
      <c r="AK51" s="146">
        <v>1</v>
      </c>
      <c r="AL51" s="146">
        <v>1</v>
      </c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249"/>
      <c r="AZ51" s="249"/>
      <c r="BA51" s="249"/>
      <c r="BB51" s="249"/>
      <c r="BC51" s="249"/>
      <c r="BD51" s="249">
        <v>7</v>
      </c>
      <c r="BE51" s="249">
        <v>1</v>
      </c>
      <c r="BF51" s="249">
        <v>1</v>
      </c>
      <c r="BG51" s="249"/>
      <c r="BH51" s="249"/>
      <c r="BI51" s="249"/>
      <c r="BJ51" s="249"/>
      <c r="BK51" s="249"/>
      <c r="BL51" s="250"/>
      <c r="BM51" s="249"/>
      <c r="BN51" s="249"/>
      <c r="BO51" s="249"/>
      <c r="BP51" s="249"/>
      <c r="BQ51" s="249"/>
      <c r="BR51" s="249"/>
    </row>
    <row r="52" spans="2:70" x14ac:dyDescent="0.2">
      <c r="B52" s="120" t="s">
        <v>236</v>
      </c>
      <c r="C52" s="121">
        <v>48</v>
      </c>
      <c r="D52" s="67" t="s">
        <v>283</v>
      </c>
      <c r="E52" s="68" t="s">
        <v>293</v>
      </c>
      <c r="G52" s="87">
        <f t="shared" si="0"/>
        <v>0.6</v>
      </c>
      <c r="H52" s="87">
        <f t="shared" si="1"/>
        <v>0.3</v>
      </c>
      <c r="I52" s="70"/>
      <c r="J52" s="70"/>
      <c r="K52" s="70"/>
      <c r="L52" s="70"/>
      <c r="M52" s="70"/>
      <c r="N52" s="70"/>
      <c r="O52" s="147">
        <v>0.6</v>
      </c>
      <c r="P52" s="147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147"/>
      <c r="AD52" s="70"/>
      <c r="AE52" s="146"/>
      <c r="AF52" s="146"/>
      <c r="AG52" s="146"/>
      <c r="AH52" s="146"/>
      <c r="AI52" s="146"/>
      <c r="AJ52" s="148">
        <v>0.3</v>
      </c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8"/>
      <c r="AX52" s="146"/>
      <c r="AY52" s="249"/>
      <c r="AZ52" s="249"/>
      <c r="BA52" s="249"/>
      <c r="BB52" s="249"/>
      <c r="BC52" s="249"/>
      <c r="BD52" s="251">
        <v>0.6</v>
      </c>
      <c r="BE52" s="249"/>
      <c r="BF52" s="249"/>
      <c r="BG52" s="249"/>
      <c r="BH52" s="249"/>
      <c r="BI52" s="249"/>
      <c r="BJ52" s="249"/>
      <c r="BK52" s="249"/>
      <c r="BL52" s="250"/>
      <c r="BM52" s="249"/>
      <c r="BN52" s="249"/>
      <c r="BO52" s="249"/>
      <c r="BP52" s="249"/>
      <c r="BQ52" s="249"/>
      <c r="BR52" s="249"/>
    </row>
    <row r="53" spans="2:70" ht="16.5" x14ac:dyDescent="0.2">
      <c r="B53" s="120" t="s">
        <v>419</v>
      </c>
      <c r="C53" s="121">
        <v>49</v>
      </c>
      <c r="D53" s="67" t="s">
        <v>362</v>
      </c>
      <c r="E53" s="68" t="s">
        <v>289</v>
      </c>
      <c r="G53" s="87">
        <f t="shared" si="0"/>
        <v>0</v>
      </c>
      <c r="H53" s="87">
        <f t="shared" si="1"/>
        <v>1</v>
      </c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147"/>
      <c r="AD53" s="70">
        <v>0</v>
      </c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8"/>
      <c r="AX53" s="146">
        <v>1</v>
      </c>
      <c r="AY53" s="250"/>
      <c r="AZ53" s="249"/>
      <c r="BA53" s="249">
        <v>1</v>
      </c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50"/>
      <c r="BM53" s="249"/>
      <c r="BN53" s="249"/>
      <c r="BO53" s="249"/>
      <c r="BP53" s="249"/>
      <c r="BQ53" s="249"/>
      <c r="BR53" s="249">
        <v>0</v>
      </c>
    </row>
    <row r="54" spans="2:70" x14ac:dyDescent="0.2">
      <c r="B54" s="120" t="s">
        <v>237</v>
      </c>
      <c r="C54" s="121">
        <v>50</v>
      </c>
      <c r="D54" s="67" t="s">
        <v>284</v>
      </c>
      <c r="E54" s="68" t="s">
        <v>289</v>
      </c>
      <c r="G54" s="87">
        <f t="shared" si="0"/>
        <v>8</v>
      </c>
      <c r="H54" s="87">
        <f t="shared" si="1"/>
        <v>10</v>
      </c>
      <c r="I54" s="70"/>
      <c r="J54" s="70"/>
      <c r="K54" s="70">
        <v>1</v>
      </c>
      <c r="L54" s="70"/>
      <c r="M54" s="70"/>
      <c r="N54" s="70"/>
      <c r="O54" s="70"/>
      <c r="P54" s="70"/>
      <c r="Q54" s="70"/>
      <c r="R54" s="70"/>
      <c r="S54" s="70">
        <v>2</v>
      </c>
      <c r="T54" s="70"/>
      <c r="U54" s="70"/>
      <c r="V54" s="70"/>
      <c r="W54" s="70">
        <v>3</v>
      </c>
      <c r="X54" s="70"/>
      <c r="Y54" s="70">
        <v>1</v>
      </c>
      <c r="Z54" s="70">
        <v>1</v>
      </c>
      <c r="AA54" s="70"/>
      <c r="AB54" s="70"/>
      <c r="AC54" s="70"/>
      <c r="AD54" s="70"/>
      <c r="AE54" s="146"/>
      <c r="AF54" s="146"/>
      <c r="AG54" s="146">
        <v>1</v>
      </c>
      <c r="AH54" s="146"/>
      <c r="AI54" s="146"/>
      <c r="AJ54" s="146"/>
      <c r="AK54" s="146"/>
      <c r="AL54" s="146"/>
      <c r="AM54" s="146">
        <v>3</v>
      </c>
      <c r="AN54" s="146"/>
      <c r="AO54" s="146"/>
      <c r="AP54" s="146"/>
      <c r="AQ54" s="146">
        <v>3</v>
      </c>
      <c r="AR54" s="146"/>
      <c r="AS54" s="146">
        <v>1</v>
      </c>
      <c r="AT54" s="146">
        <v>1</v>
      </c>
      <c r="AU54" s="146">
        <v>1</v>
      </c>
      <c r="AV54" s="146"/>
      <c r="AW54" s="146"/>
      <c r="AX54" s="146"/>
      <c r="AY54" s="249"/>
      <c r="AZ54" s="249"/>
      <c r="BA54" s="249"/>
      <c r="BB54" s="249"/>
      <c r="BC54" s="249"/>
      <c r="BD54" s="249"/>
      <c r="BE54" s="249"/>
      <c r="BF54" s="249"/>
      <c r="BG54" s="249">
        <v>2</v>
      </c>
      <c r="BH54" s="249"/>
      <c r="BI54" s="249"/>
      <c r="BJ54" s="249"/>
      <c r="BK54" s="249">
        <v>4</v>
      </c>
      <c r="BL54" s="250"/>
      <c r="BM54" s="249">
        <v>0</v>
      </c>
      <c r="BN54" s="249">
        <v>0</v>
      </c>
      <c r="BO54" s="249"/>
      <c r="BP54" s="249"/>
      <c r="BQ54" s="249"/>
      <c r="BR54" s="249"/>
    </row>
    <row r="55" spans="2:70" ht="16.5" x14ac:dyDescent="0.2">
      <c r="B55" s="120" t="s">
        <v>238</v>
      </c>
      <c r="C55" s="121">
        <v>51</v>
      </c>
      <c r="D55" s="67" t="s">
        <v>285</v>
      </c>
      <c r="E55" s="68" t="s">
        <v>363</v>
      </c>
      <c r="G55" s="87">
        <f t="shared" si="0"/>
        <v>1</v>
      </c>
      <c r="H55" s="87">
        <f t="shared" si="1"/>
        <v>0</v>
      </c>
      <c r="I55" s="70"/>
      <c r="J55" s="70"/>
      <c r="K55" s="70"/>
      <c r="L55" s="70">
        <v>1</v>
      </c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50"/>
      <c r="BN55" s="249"/>
      <c r="BO55" s="249"/>
      <c r="BP55" s="249"/>
      <c r="BQ55" s="249"/>
      <c r="BR55" s="249"/>
    </row>
    <row r="56" spans="2:70" ht="16.5" x14ac:dyDescent="0.2">
      <c r="B56" s="120" t="s">
        <v>239</v>
      </c>
      <c r="C56" s="121">
        <v>52</v>
      </c>
      <c r="D56" s="67" t="s">
        <v>286</v>
      </c>
      <c r="E56" s="68" t="s">
        <v>289</v>
      </c>
      <c r="G56" s="87">
        <f t="shared" si="0"/>
        <v>5</v>
      </c>
      <c r="H56" s="87">
        <f t="shared" si="1"/>
        <v>5</v>
      </c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>
        <v>5</v>
      </c>
      <c r="X56" s="70"/>
      <c r="Y56" s="70"/>
      <c r="Z56" s="70"/>
      <c r="AA56" s="70"/>
      <c r="AB56" s="70"/>
      <c r="AC56" s="70"/>
      <c r="AD56" s="70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>
        <v>5</v>
      </c>
      <c r="AR56" s="146"/>
      <c r="AS56" s="146"/>
      <c r="AT56" s="146"/>
      <c r="AU56" s="146"/>
      <c r="AV56" s="146"/>
      <c r="AW56" s="146"/>
      <c r="AX56" s="146"/>
      <c r="AY56" s="249"/>
      <c r="AZ56" s="249"/>
      <c r="BA56" s="249"/>
      <c r="BB56" s="249"/>
      <c r="BC56" s="249"/>
      <c r="BD56" s="249"/>
      <c r="BE56" s="249"/>
      <c r="BF56" s="249"/>
      <c r="BG56" s="249"/>
      <c r="BH56" s="249"/>
      <c r="BI56" s="249"/>
      <c r="BJ56" s="249"/>
      <c r="BK56" s="249">
        <v>13</v>
      </c>
      <c r="BL56" s="250"/>
      <c r="BM56" s="249"/>
      <c r="BN56" s="249"/>
      <c r="BO56" s="249"/>
      <c r="BP56" s="249"/>
      <c r="BQ56" s="249"/>
      <c r="BR56" s="249"/>
    </row>
    <row r="57" spans="2:70" ht="16.5" x14ac:dyDescent="0.2">
      <c r="B57" s="120" t="s">
        <v>240</v>
      </c>
      <c r="C57" s="121">
        <v>53</v>
      </c>
      <c r="D57" s="67" t="s">
        <v>287</v>
      </c>
      <c r="E57" s="68" t="s">
        <v>290</v>
      </c>
      <c r="G57" s="87">
        <f t="shared" si="0"/>
        <v>15</v>
      </c>
      <c r="H57" s="87">
        <f t="shared" si="1"/>
        <v>30</v>
      </c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>
        <v>15</v>
      </c>
      <c r="W57" s="70"/>
      <c r="X57" s="70"/>
      <c r="Y57" s="70"/>
      <c r="Z57" s="70"/>
      <c r="AA57" s="70"/>
      <c r="AB57" s="70"/>
      <c r="AC57" s="70"/>
      <c r="AD57" s="70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>
        <v>30</v>
      </c>
      <c r="AQ57" s="146"/>
      <c r="AR57" s="146"/>
      <c r="AS57" s="146"/>
      <c r="AT57" s="146"/>
      <c r="AU57" s="146"/>
      <c r="AV57" s="146"/>
      <c r="AW57" s="146"/>
      <c r="AX57" s="146"/>
      <c r="AY57" s="249"/>
      <c r="AZ57" s="249"/>
      <c r="BA57" s="249"/>
      <c r="BB57" s="249"/>
      <c r="BC57" s="249"/>
      <c r="BD57" s="249"/>
      <c r="BE57" s="249"/>
      <c r="BF57" s="249"/>
      <c r="BG57" s="249"/>
      <c r="BH57" s="249"/>
      <c r="BI57" s="249"/>
      <c r="BJ57" s="249">
        <v>19</v>
      </c>
      <c r="BK57" s="249"/>
      <c r="BL57" s="249"/>
      <c r="BM57" s="249"/>
      <c r="BN57" s="249"/>
      <c r="BO57" s="249"/>
      <c r="BP57" s="249"/>
      <c r="BQ57" s="249"/>
      <c r="BR57" s="249"/>
    </row>
    <row r="58" spans="2:70" ht="15" x14ac:dyDescent="0.2">
      <c r="B58" s="120" t="s">
        <v>241</v>
      </c>
      <c r="C58" s="121">
        <v>54</v>
      </c>
      <c r="D58" s="67" t="s">
        <v>288</v>
      </c>
      <c r="E58" s="68" t="s">
        <v>290</v>
      </c>
      <c r="G58" s="87">
        <f t="shared" si="0"/>
        <v>5</v>
      </c>
      <c r="H58" s="87">
        <f t="shared" si="1"/>
        <v>11</v>
      </c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>
        <v>5</v>
      </c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>
        <v>11</v>
      </c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250"/>
      <c r="AZ58" s="249"/>
      <c r="BA58" s="249"/>
      <c r="BB58" s="249"/>
      <c r="BC58" s="249"/>
      <c r="BD58" s="249"/>
      <c r="BE58" s="249"/>
      <c r="BF58" s="249"/>
      <c r="BG58" s="249"/>
      <c r="BH58" s="249">
        <v>5</v>
      </c>
      <c r="BI58" s="249"/>
      <c r="BJ58" s="249"/>
      <c r="BK58" s="249"/>
      <c r="BL58" s="249"/>
      <c r="BM58" s="249"/>
      <c r="BN58" s="249"/>
      <c r="BO58" s="249"/>
      <c r="BP58" s="250"/>
      <c r="BQ58" s="249"/>
      <c r="BR58" s="249"/>
    </row>
  </sheetData>
  <sheetProtection algorithmName="SHA-512" hashValue="D0b7afoa6CfkyzV2RPtX/iIddgYjniy91oWkYtZL2zYHdPQKo+mGVfRVKygtc3LjMTgyL+nUzLCW1xwa/gD/QQ==" saltValue="HwzNqH4HiXcL2TsHJbXvRA==" spinCount="100000" sheet="1" selectLockedCells="1" selectUnlockedCells="1"/>
  <mergeCells count="6">
    <mergeCell ref="AY2:BR2"/>
    <mergeCell ref="F1:H1"/>
    <mergeCell ref="I1:AX1"/>
    <mergeCell ref="F2:H2"/>
    <mergeCell ref="I2:AD2"/>
    <mergeCell ref="AE2:AX2"/>
  </mergeCells>
  <conditionalFormatting sqref="F6:F9">
    <cfRule type="cellIs" dxfId="28" priority="46" operator="lessThan">
      <formula>#REF!</formula>
    </cfRule>
    <cfRule type="cellIs" dxfId="27" priority="47" operator="greaterThan">
      <formula>#REF!</formula>
    </cfRule>
  </conditionalFormatting>
  <conditionalFormatting sqref="F11:F41">
    <cfRule type="cellIs" dxfId="26" priority="38" operator="lessThan">
      <formula>#REF!</formula>
    </cfRule>
    <cfRule type="cellIs" dxfId="25" priority="39" operator="greaterThan">
      <formula>#REF!</formula>
    </cfRule>
  </conditionalFormatting>
  <conditionalFormatting sqref="F5:H5 G6:H58">
    <cfRule type="cellIs" dxfId="24" priority="48" operator="lessThan">
      <formula>#REF!</formula>
    </cfRule>
    <cfRule type="cellIs" dxfId="23" priority="49" operator="greaterThan">
      <formula>#REF!</formula>
    </cfRule>
  </conditionalFormatting>
  <pageMargins left="0.7" right="0.7" top="0.78740157499999996" bottom="0.78740157499999996" header="0.3" footer="0.3"/>
  <pageSetup paperSize="8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Q40"/>
  <sheetViews>
    <sheetView view="pageBreakPreview" zoomScaleNormal="100" zoomScaleSheetLayoutView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B38" sqref="B38"/>
    </sheetView>
  </sheetViews>
  <sheetFormatPr defaultColWidth="6.7109375" defaultRowHeight="14.25" customHeight="1" x14ac:dyDescent="0.2"/>
  <cols>
    <col min="1" max="1" width="6.7109375" style="55" customWidth="1"/>
    <col min="2" max="2" width="5" style="55" customWidth="1"/>
    <col min="3" max="3" width="9.42578125" style="55" customWidth="1"/>
    <col min="4" max="4" width="9.28515625" style="55" customWidth="1"/>
    <col min="5" max="5" width="8.85546875" style="55" customWidth="1"/>
    <col min="6" max="6" width="9.28515625" style="55" customWidth="1"/>
    <col min="7" max="7" width="29.28515625" style="55" customWidth="1"/>
    <col min="8" max="8" width="32.140625" style="55" customWidth="1"/>
    <col min="9" max="9" width="13.7109375" style="55" customWidth="1"/>
    <col min="10" max="10" width="10.140625" style="55" customWidth="1"/>
    <col min="11" max="11" width="13.28515625" style="55" customWidth="1"/>
    <col min="12" max="12" width="14" style="55" customWidth="1"/>
    <col min="13" max="13" width="13" style="55" customWidth="1"/>
    <col min="14" max="14" width="19.28515625" style="55" customWidth="1"/>
    <col min="15" max="15" width="13.85546875" style="55" customWidth="1"/>
    <col min="16" max="17" width="10.140625" style="55" customWidth="1"/>
    <col min="18" max="18" width="11.85546875" style="55" customWidth="1"/>
    <col min="19" max="19" width="10.140625" style="55" customWidth="1"/>
    <col min="20" max="20" width="11.42578125" style="55" customWidth="1"/>
    <col min="21" max="22" width="10.140625" style="55" customWidth="1"/>
    <col min="23" max="23" width="10.85546875" style="55" customWidth="1"/>
    <col min="24" max="24" width="10.140625" style="55" customWidth="1"/>
    <col min="25" max="25" width="11" style="55" customWidth="1"/>
    <col min="26" max="26" width="15.42578125" style="55" customWidth="1"/>
    <col min="27" max="28" width="14.28515625" style="55" customWidth="1"/>
    <col min="29" max="29" width="6.42578125" style="55" customWidth="1"/>
    <col min="30" max="30" width="12.5703125" style="55" bestFit="1" customWidth="1"/>
    <col min="31" max="31" width="10.85546875" style="55" customWidth="1"/>
    <col min="32" max="33" width="6.42578125" style="55" customWidth="1"/>
    <col min="34" max="38" width="6.7109375" style="55" customWidth="1"/>
    <col min="39" max="39" width="11.28515625" style="55" customWidth="1"/>
    <col min="40" max="40" width="16.28515625" style="55" customWidth="1"/>
    <col min="41" max="41" width="16.140625" style="55" customWidth="1"/>
    <col min="42" max="43" width="15.140625" style="55" customWidth="1"/>
    <col min="44" max="44" width="6.7109375" style="55" customWidth="1"/>
    <col min="45" max="49" width="6.7109375" style="55"/>
    <col min="50" max="50" width="7" style="55" bestFit="1" customWidth="1"/>
    <col min="51" max="16384" width="6.7109375" style="55"/>
  </cols>
  <sheetData>
    <row r="1" spans="1:43" ht="14.25" customHeight="1" x14ac:dyDescent="0.2">
      <c r="B1" s="83">
        <v>1</v>
      </c>
      <c r="C1" s="113">
        <v>2</v>
      </c>
      <c r="D1" s="113">
        <v>3</v>
      </c>
      <c r="E1" s="11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83">
        <v>18</v>
      </c>
      <c r="T1" s="83">
        <v>19</v>
      </c>
      <c r="U1" s="83">
        <v>20</v>
      </c>
      <c r="V1" s="83">
        <v>21</v>
      </c>
      <c r="W1" s="83">
        <v>22</v>
      </c>
      <c r="X1" s="83">
        <v>23</v>
      </c>
      <c r="Y1" s="83">
        <v>24</v>
      </c>
      <c r="Z1" s="83">
        <v>25</v>
      </c>
      <c r="AA1" s="83">
        <v>26</v>
      </c>
      <c r="AB1" s="83">
        <v>27</v>
      </c>
      <c r="AC1" s="83">
        <v>28</v>
      </c>
      <c r="AD1" s="83">
        <v>29</v>
      </c>
      <c r="AE1" s="83">
        <v>30</v>
      </c>
      <c r="AF1" s="83">
        <v>31</v>
      </c>
      <c r="AG1" s="83">
        <v>32</v>
      </c>
      <c r="AH1" s="83">
        <v>33</v>
      </c>
      <c r="AI1" s="83">
        <v>34</v>
      </c>
      <c r="AJ1" s="83">
        <v>35</v>
      </c>
      <c r="AK1" s="83">
        <v>36</v>
      </c>
      <c r="AL1" s="83">
        <v>37</v>
      </c>
      <c r="AM1" s="83">
        <v>38</v>
      </c>
      <c r="AN1" s="83">
        <v>39</v>
      </c>
      <c r="AO1" s="83">
        <v>40</v>
      </c>
      <c r="AP1" s="83">
        <v>41</v>
      </c>
      <c r="AQ1" s="83">
        <v>42</v>
      </c>
    </row>
    <row r="2" spans="1:43" ht="39" customHeight="1" x14ac:dyDescent="0.25">
      <c r="A2" s="1"/>
      <c r="B2" s="151" t="s">
        <v>95</v>
      </c>
      <c r="C2" s="151" t="s">
        <v>366</v>
      </c>
      <c r="D2" s="151" t="s">
        <v>146</v>
      </c>
      <c r="E2" s="151" t="s">
        <v>367</v>
      </c>
      <c r="F2" s="151" t="s">
        <v>96</v>
      </c>
      <c r="G2" s="152" t="s">
        <v>97</v>
      </c>
      <c r="H2" s="152" t="s">
        <v>94</v>
      </c>
      <c r="I2" s="153" t="s">
        <v>46</v>
      </c>
      <c r="J2" s="152" t="s">
        <v>368</v>
      </c>
      <c r="K2" s="152" t="s">
        <v>422</v>
      </c>
      <c r="L2" s="152" t="s">
        <v>423</v>
      </c>
      <c r="M2" s="152" t="s">
        <v>421</v>
      </c>
      <c r="N2" s="152" t="s">
        <v>424</v>
      </c>
      <c r="O2" s="152" t="s">
        <v>425</v>
      </c>
      <c r="P2" s="154" t="s">
        <v>369</v>
      </c>
      <c r="Q2" s="154" t="s">
        <v>370</v>
      </c>
      <c r="R2" s="154" t="s">
        <v>371</v>
      </c>
      <c r="S2" s="154" t="s">
        <v>372</v>
      </c>
      <c r="T2" s="126" t="s">
        <v>373</v>
      </c>
      <c r="U2" s="154" t="s">
        <v>374</v>
      </c>
      <c r="V2" s="154" t="s">
        <v>375</v>
      </c>
      <c r="W2" s="154" t="s">
        <v>376</v>
      </c>
      <c r="X2" s="154" t="s">
        <v>377</v>
      </c>
      <c r="Y2" s="126" t="s">
        <v>378</v>
      </c>
      <c r="Z2" s="229" t="s">
        <v>409</v>
      </c>
      <c r="AA2" s="165" t="s">
        <v>114</v>
      </c>
      <c r="AB2" s="165" t="s">
        <v>410</v>
      </c>
      <c r="AC2" s="165" t="s">
        <v>411</v>
      </c>
      <c r="AD2" s="166" t="s">
        <v>113</v>
      </c>
      <c r="AE2" s="167" t="s">
        <v>109</v>
      </c>
      <c r="AF2" s="167" t="s">
        <v>110</v>
      </c>
      <c r="AG2" s="167" t="s">
        <v>111</v>
      </c>
      <c r="AH2" s="167" t="s">
        <v>112</v>
      </c>
      <c r="AI2" s="167" t="s">
        <v>294</v>
      </c>
      <c r="AJ2" s="167" t="s">
        <v>295</v>
      </c>
      <c r="AK2" s="168" t="s">
        <v>296</v>
      </c>
      <c r="AL2" s="168" t="s">
        <v>412</v>
      </c>
      <c r="AM2" s="154" t="s">
        <v>524</v>
      </c>
      <c r="AN2" s="154" t="s">
        <v>525</v>
      </c>
      <c r="AO2" s="154" t="s">
        <v>526</v>
      </c>
      <c r="AP2" s="154" t="s">
        <v>527</v>
      </c>
      <c r="AQ2" s="126" t="s">
        <v>528</v>
      </c>
    </row>
    <row r="3" spans="1:43" ht="40.5" x14ac:dyDescent="0.25">
      <c r="A3" s="1"/>
      <c r="B3" s="175">
        <v>7</v>
      </c>
      <c r="C3" s="175" t="s">
        <v>379</v>
      </c>
      <c r="D3" s="175" t="s">
        <v>156</v>
      </c>
      <c r="E3" s="155" t="s">
        <v>149</v>
      </c>
      <c r="F3" s="169" t="s">
        <v>98</v>
      </c>
      <c r="G3" s="156" t="s">
        <v>163</v>
      </c>
      <c r="H3" s="156" t="s">
        <v>104</v>
      </c>
      <c r="I3" s="170" t="s">
        <v>59</v>
      </c>
      <c r="J3" s="176" t="s">
        <v>380</v>
      </c>
      <c r="K3" s="196">
        <v>0</v>
      </c>
      <c r="L3" s="196">
        <v>0</v>
      </c>
      <c r="M3" s="177">
        <f>K3+L3</f>
        <v>0</v>
      </c>
      <c r="N3" s="196">
        <v>0</v>
      </c>
      <c r="O3" s="178">
        <f>M3+N3</f>
        <v>0</v>
      </c>
      <c r="P3" s="124">
        <v>94000</v>
      </c>
      <c r="Q3" s="124">
        <v>3375000</v>
      </c>
      <c r="R3" s="124">
        <f t="shared" ref="R3:R23" si="0">P3+Q3</f>
        <v>3469000</v>
      </c>
      <c r="S3" s="124">
        <v>0</v>
      </c>
      <c r="T3" s="157">
        <f t="shared" ref="T3:T23" si="1">R3+S3</f>
        <v>3469000</v>
      </c>
      <c r="U3" s="124">
        <v>95000</v>
      </c>
      <c r="V3" s="124">
        <v>3046000</v>
      </c>
      <c r="W3" s="124">
        <f t="shared" ref="W3:W23" si="2">U3+V3</f>
        <v>3141000</v>
      </c>
      <c r="X3" s="124">
        <v>0</v>
      </c>
      <c r="Y3" s="158">
        <f t="shared" ref="Y3:Y23" si="3">W3+X3</f>
        <v>3141000</v>
      </c>
      <c r="Z3" s="230" t="s">
        <v>514</v>
      </c>
      <c r="AA3" s="159" t="s">
        <v>413</v>
      </c>
      <c r="AB3" s="159" t="s">
        <v>414</v>
      </c>
      <c r="AC3" s="159" t="s">
        <v>415</v>
      </c>
      <c r="AD3" s="125"/>
      <c r="AE3" s="172" t="s">
        <v>343</v>
      </c>
      <c r="AF3" s="172" t="s">
        <v>216</v>
      </c>
      <c r="AG3" s="172" t="s">
        <v>217</v>
      </c>
      <c r="AH3" s="172" t="s">
        <v>218</v>
      </c>
      <c r="AI3" s="172" t="s">
        <v>219</v>
      </c>
      <c r="AJ3" s="172" t="s">
        <v>227</v>
      </c>
      <c r="AK3" s="172"/>
      <c r="AL3" s="222"/>
      <c r="AM3" s="235">
        <v>10000</v>
      </c>
      <c r="AN3" s="232">
        <v>1080241.53</v>
      </c>
      <c r="AO3" s="232">
        <f>AM3+AN3</f>
        <v>1090241.53</v>
      </c>
      <c r="AP3" s="232">
        <v>0</v>
      </c>
      <c r="AQ3" s="232">
        <f>AO3+AP3</f>
        <v>1090241.53</v>
      </c>
    </row>
    <row r="4" spans="1:43" ht="54" x14ac:dyDescent="0.25">
      <c r="A4" s="1"/>
      <c r="B4" s="175">
        <v>8</v>
      </c>
      <c r="C4" s="175" t="s">
        <v>381</v>
      </c>
      <c r="D4" s="155" t="s">
        <v>382</v>
      </c>
      <c r="E4" s="155" t="s">
        <v>383</v>
      </c>
      <c r="F4" s="169" t="s">
        <v>98</v>
      </c>
      <c r="G4" s="156" t="s">
        <v>164</v>
      </c>
      <c r="H4" s="156" t="s">
        <v>384</v>
      </c>
      <c r="I4" s="170" t="s">
        <v>385</v>
      </c>
      <c r="J4" s="176" t="s">
        <v>380</v>
      </c>
      <c r="K4" s="177">
        <v>740000</v>
      </c>
      <c r="L4" s="177">
        <v>1112684.73</v>
      </c>
      <c r="M4" s="177">
        <f>K4+L4</f>
        <v>1852684.73</v>
      </c>
      <c r="N4" s="177">
        <v>0</v>
      </c>
      <c r="O4" s="178">
        <f>M4+N4</f>
        <v>1852684.73</v>
      </c>
      <c r="P4" s="124">
        <v>1916400</v>
      </c>
      <c r="Q4" s="124">
        <v>1205000</v>
      </c>
      <c r="R4" s="124">
        <f t="shared" si="0"/>
        <v>3121400</v>
      </c>
      <c r="S4" s="124">
        <v>0</v>
      </c>
      <c r="T4" s="157">
        <f t="shared" si="1"/>
        <v>3121400</v>
      </c>
      <c r="U4" s="124">
        <v>1916400</v>
      </c>
      <c r="V4" s="124">
        <v>1157300</v>
      </c>
      <c r="W4" s="124">
        <f t="shared" si="2"/>
        <v>3073700</v>
      </c>
      <c r="X4" s="124">
        <v>0</v>
      </c>
      <c r="Y4" s="158">
        <f t="shared" si="3"/>
        <v>3073700</v>
      </c>
      <c r="Z4" s="124" t="s">
        <v>495</v>
      </c>
      <c r="AA4" s="159" t="s">
        <v>118</v>
      </c>
      <c r="AB4" s="159" t="s">
        <v>384</v>
      </c>
      <c r="AC4" s="159" t="s">
        <v>416</v>
      </c>
      <c r="AD4" s="125"/>
      <c r="AE4" s="172" t="s">
        <v>215</v>
      </c>
      <c r="AF4" s="172" t="s">
        <v>216</v>
      </c>
      <c r="AG4" s="172" t="s">
        <v>218</v>
      </c>
      <c r="AH4" s="172" t="s">
        <v>224</v>
      </c>
      <c r="AI4" s="172" t="s">
        <v>226</v>
      </c>
      <c r="AJ4" s="172" t="s">
        <v>356</v>
      </c>
      <c r="AK4" s="222"/>
      <c r="AL4" s="222"/>
      <c r="AM4" s="235">
        <v>240827</v>
      </c>
      <c r="AN4" s="232">
        <v>349437.68</v>
      </c>
      <c r="AO4" s="232">
        <f t="shared" ref="AO4:AO23" si="4">AM4+AN4</f>
        <v>590264.67999999993</v>
      </c>
      <c r="AP4" s="232">
        <v>0</v>
      </c>
      <c r="AQ4" s="232">
        <f t="shared" ref="AQ4:AQ23" si="5">AO4+AP4</f>
        <v>590264.67999999993</v>
      </c>
    </row>
    <row r="5" spans="1:43" ht="54" x14ac:dyDescent="0.25">
      <c r="A5" s="1"/>
      <c r="B5" s="175">
        <v>9</v>
      </c>
      <c r="C5" s="175">
        <v>5</v>
      </c>
      <c r="D5" s="175" t="s">
        <v>155</v>
      </c>
      <c r="E5" s="155" t="s">
        <v>148</v>
      </c>
      <c r="F5" s="169" t="s">
        <v>98</v>
      </c>
      <c r="G5" s="156" t="s">
        <v>165</v>
      </c>
      <c r="H5" s="156" t="s">
        <v>166</v>
      </c>
      <c r="I5" s="170" t="s">
        <v>167</v>
      </c>
      <c r="J5" s="176" t="s">
        <v>380</v>
      </c>
      <c r="K5" s="196">
        <v>0</v>
      </c>
      <c r="L5" s="196">
        <v>107988</v>
      </c>
      <c r="M5" s="177">
        <f t="shared" ref="M5:M23" si="6">K5+L5</f>
        <v>107988</v>
      </c>
      <c r="N5" s="196">
        <v>1248657.57</v>
      </c>
      <c r="O5" s="178">
        <f t="shared" ref="O5:O23" si="7">M5+N5</f>
        <v>1356645.57</v>
      </c>
      <c r="P5" s="124">
        <v>155424</v>
      </c>
      <c r="Q5" s="124">
        <v>31065</v>
      </c>
      <c r="R5" s="124">
        <f t="shared" si="0"/>
        <v>186489</v>
      </c>
      <c r="S5" s="124">
        <v>350000</v>
      </c>
      <c r="T5" s="157">
        <f t="shared" si="1"/>
        <v>536489</v>
      </c>
      <c r="U5" s="124">
        <v>155421</v>
      </c>
      <c r="V5" s="124">
        <v>34100</v>
      </c>
      <c r="W5" s="124">
        <f t="shared" si="2"/>
        <v>189521</v>
      </c>
      <c r="X5" s="124">
        <v>300000</v>
      </c>
      <c r="Y5" s="158">
        <f t="shared" si="3"/>
        <v>489521</v>
      </c>
      <c r="Z5" s="124" t="s">
        <v>496</v>
      </c>
      <c r="AA5" s="159" t="s">
        <v>185</v>
      </c>
      <c r="AB5" s="159" t="s">
        <v>166</v>
      </c>
      <c r="AC5" s="159" t="s">
        <v>416</v>
      </c>
      <c r="AD5" s="125"/>
      <c r="AE5" s="171" t="s">
        <v>232</v>
      </c>
      <c r="AF5" s="171" t="s">
        <v>237</v>
      </c>
      <c r="AG5" s="79"/>
      <c r="AH5" s="160"/>
      <c r="AI5" s="222"/>
      <c r="AJ5" s="222"/>
      <c r="AK5" s="222"/>
      <c r="AL5" s="222"/>
      <c r="AM5" s="235">
        <v>6757.71</v>
      </c>
      <c r="AN5" s="232">
        <v>95345.64</v>
      </c>
      <c r="AO5" s="232">
        <f t="shared" si="4"/>
        <v>102103.35</v>
      </c>
      <c r="AP5" s="232">
        <v>1285137.3</v>
      </c>
      <c r="AQ5" s="232">
        <f t="shared" si="5"/>
        <v>1387240.6500000001</v>
      </c>
    </row>
    <row r="6" spans="1:43" s="192" customFormat="1" ht="67.5" x14ac:dyDescent="0.25">
      <c r="A6" s="179"/>
      <c r="B6" s="180">
        <v>10</v>
      </c>
      <c r="C6" s="180">
        <v>5</v>
      </c>
      <c r="D6" s="180" t="s">
        <v>155</v>
      </c>
      <c r="E6" s="181" t="s">
        <v>150</v>
      </c>
      <c r="F6" s="182" t="s">
        <v>98</v>
      </c>
      <c r="G6" s="183" t="s">
        <v>546</v>
      </c>
      <c r="H6" s="183" t="s">
        <v>427</v>
      </c>
      <c r="I6" s="184" t="s">
        <v>328</v>
      </c>
      <c r="J6" s="185" t="s">
        <v>428</v>
      </c>
      <c r="K6" s="197">
        <v>0</v>
      </c>
      <c r="L6" s="197">
        <v>0</v>
      </c>
      <c r="M6" s="177">
        <f t="shared" si="6"/>
        <v>0</v>
      </c>
      <c r="N6" s="197">
        <v>845000</v>
      </c>
      <c r="O6" s="178">
        <f t="shared" si="7"/>
        <v>845000</v>
      </c>
      <c r="P6" s="186">
        <v>0</v>
      </c>
      <c r="Q6" s="186">
        <v>0</v>
      </c>
      <c r="R6" s="186">
        <f t="shared" si="0"/>
        <v>0</v>
      </c>
      <c r="S6" s="186">
        <v>0</v>
      </c>
      <c r="T6" s="157">
        <f t="shared" si="1"/>
        <v>0</v>
      </c>
      <c r="U6" s="186">
        <v>0</v>
      </c>
      <c r="V6" s="186">
        <v>0</v>
      </c>
      <c r="W6" s="186">
        <f t="shared" si="2"/>
        <v>0</v>
      </c>
      <c r="X6" s="186">
        <v>0</v>
      </c>
      <c r="Y6" s="187">
        <f t="shared" si="3"/>
        <v>0</v>
      </c>
      <c r="Z6" s="186" t="s">
        <v>497</v>
      </c>
      <c r="AA6" s="188" t="s">
        <v>186</v>
      </c>
      <c r="AB6" s="183" t="s">
        <v>427</v>
      </c>
      <c r="AC6" s="188" t="s">
        <v>426</v>
      </c>
      <c r="AD6" s="189"/>
      <c r="AE6" s="190" t="s">
        <v>238</v>
      </c>
      <c r="AF6" s="190"/>
      <c r="AG6" s="191"/>
      <c r="AH6" s="223"/>
      <c r="AI6" s="224"/>
      <c r="AJ6" s="224"/>
      <c r="AK6" s="224"/>
      <c r="AL6" s="224"/>
      <c r="AM6" s="236">
        <v>0</v>
      </c>
      <c r="AN6" s="233">
        <v>0</v>
      </c>
      <c r="AO6" s="232">
        <f t="shared" si="4"/>
        <v>0</v>
      </c>
      <c r="AP6" s="233">
        <v>445500</v>
      </c>
      <c r="AQ6" s="232">
        <f t="shared" si="5"/>
        <v>445500</v>
      </c>
    </row>
    <row r="7" spans="1:43" ht="40.5" x14ac:dyDescent="0.25">
      <c r="A7" s="1"/>
      <c r="B7" s="175">
        <v>13</v>
      </c>
      <c r="C7" s="175">
        <v>1</v>
      </c>
      <c r="D7" s="175" t="s">
        <v>157</v>
      </c>
      <c r="E7" s="155" t="s">
        <v>99</v>
      </c>
      <c r="F7" s="169" t="s">
        <v>41</v>
      </c>
      <c r="G7" s="156" t="s">
        <v>386</v>
      </c>
      <c r="H7" s="156" t="s">
        <v>105</v>
      </c>
      <c r="I7" s="170" t="s">
        <v>106</v>
      </c>
      <c r="J7" s="176" t="s">
        <v>380</v>
      </c>
      <c r="K7" s="196">
        <v>0</v>
      </c>
      <c r="L7" s="196">
        <v>0</v>
      </c>
      <c r="M7" s="177">
        <f t="shared" si="6"/>
        <v>0</v>
      </c>
      <c r="N7" s="196">
        <v>0</v>
      </c>
      <c r="O7" s="178">
        <f t="shared" si="7"/>
        <v>0</v>
      </c>
      <c r="P7" s="124">
        <v>0</v>
      </c>
      <c r="Q7" s="124">
        <v>0</v>
      </c>
      <c r="R7" s="124">
        <f t="shared" si="0"/>
        <v>0</v>
      </c>
      <c r="S7" s="124">
        <v>1000000</v>
      </c>
      <c r="T7" s="157">
        <f t="shared" si="1"/>
        <v>1000000</v>
      </c>
      <c r="U7" s="124">
        <v>0</v>
      </c>
      <c r="V7" s="124">
        <v>0</v>
      </c>
      <c r="W7" s="124">
        <f t="shared" si="2"/>
        <v>0</v>
      </c>
      <c r="X7" s="124">
        <v>1000000</v>
      </c>
      <c r="Y7" s="158">
        <f t="shared" si="3"/>
        <v>1000000</v>
      </c>
      <c r="Z7" s="124" t="s">
        <v>498</v>
      </c>
      <c r="AA7" s="127" t="s">
        <v>121</v>
      </c>
      <c r="AB7" s="127" t="s">
        <v>105</v>
      </c>
      <c r="AC7" s="159" t="s">
        <v>415</v>
      </c>
      <c r="AD7" s="125"/>
      <c r="AE7" s="171" t="s">
        <v>204</v>
      </c>
      <c r="AF7" s="160"/>
      <c r="AG7" s="79"/>
      <c r="AH7" s="160"/>
      <c r="AI7" s="222"/>
      <c r="AJ7" s="222"/>
      <c r="AK7" s="222"/>
      <c r="AL7" s="222"/>
      <c r="AM7" s="235">
        <v>0</v>
      </c>
      <c r="AN7" s="232">
        <v>0</v>
      </c>
      <c r="AO7" s="232">
        <f t="shared" si="4"/>
        <v>0</v>
      </c>
      <c r="AP7" s="232">
        <v>0</v>
      </c>
      <c r="AQ7" s="232">
        <f t="shared" si="5"/>
        <v>0</v>
      </c>
    </row>
    <row r="8" spans="1:43" ht="54" x14ac:dyDescent="0.25">
      <c r="A8" s="1"/>
      <c r="B8" s="175">
        <v>14</v>
      </c>
      <c r="C8" s="175">
        <v>1</v>
      </c>
      <c r="D8" s="175" t="s">
        <v>157</v>
      </c>
      <c r="E8" s="155" t="s">
        <v>99</v>
      </c>
      <c r="F8" s="169" t="s">
        <v>40</v>
      </c>
      <c r="G8" s="156" t="s">
        <v>168</v>
      </c>
      <c r="H8" s="156" t="s">
        <v>169</v>
      </c>
      <c r="I8" s="170" t="s">
        <v>170</v>
      </c>
      <c r="J8" s="176" t="s">
        <v>380</v>
      </c>
      <c r="K8" s="196">
        <v>0</v>
      </c>
      <c r="L8" s="196">
        <v>0</v>
      </c>
      <c r="M8" s="177">
        <f t="shared" si="6"/>
        <v>0</v>
      </c>
      <c r="N8" s="196">
        <v>0</v>
      </c>
      <c r="O8" s="178">
        <f t="shared" si="7"/>
        <v>0</v>
      </c>
      <c r="P8" s="124">
        <v>0</v>
      </c>
      <c r="Q8" s="124">
        <v>250000</v>
      </c>
      <c r="R8" s="124">
        <f t="shared" si="0"/>
        <v>250000</v>
      </c>
      <c r="S8" s="124">
        <v>0</v>
      </c>
      <c r="T8" s="157">
        <f t="shared" si="1"/>
        <v>250000</v>
      </c>
      <c r="U8" s="124">
        <v>0</v>
      </c>
      <c r="V8" s="124">
        <v>450000</v>
      </c>
      <c r="W8" s="124">
        <f t="shared" si="2"/>
        <v>450000</v>
      </c>
      <c r="X8" s="124">
        <v>0</v>
      </c>
      <c r="Y8" s="158">
        <f t="shared" si="3"/>
        <v>450000</v>
      </c>
      <c r="Z8" s="124" t="s">
        <v>499</v>
      </c>
      <c r="AA8" s="127" t="s">
        <v>187</v>
      </c>
      <c r="AB8" s="127" t="s">
        <v>169</v>
      </c>
      <c r="AC8" s="159" t="s">
        <v>415</v>
      </c>
      <c r="AD8" s="125"/>
      <c r="AE8" s="171" t="s">
        <v>204</v>
      </c>
      <c r="AF8" s="160"/>
      <c r="AG8" s="80"/>
      <c r="AH8" s="160"/>
      <c r="AI8" s="222"/>
      <c r="AJ8" s="222"/>
      <c r="AK8" s="222"/>
      <c r="AL8" s="222"/>
      <c r="AM8" s="235">
        <v>0</v>
      </c>
      <c r="AN8" s="232">
        <v>0</v>
      </c>
      <c r="AO8" s="232">
        <f t="shared" si="4"/>
        <v>0</v>
      </c>
      <c r="AP8" s="232">
        <v>0</v>
      </c>
      <c r="AQ8" s="232">
        <f t="shared" si="5"/>
        <v>0</v>
      </c>
    </row>
    <row r="9" spans="1:43" ht="40.5" x14ac:dyDescent="0.25">
      <c r="A9" s="1"/>
      <c r="B9" s="175">
        <v>19</v>
      </c>
      <c r="C9" s="175">
        <v>5</v>
      </c>
      <c r="D9" s="175" t="s">
        <v>155</v>
      </c>
      <c r="E9" s="155" t="s">
        <v>148</v>
      </c>
      <c r="F9" s="169" t="s">
        <v>98</v>
      </c>
      <c r="G9" s="156" t="s">
        <v>387</v>
      </c>
      <c r="H9" s="253" t="s">
        <v>427</v>
      </c>
      <c r="I9" s="254" t="s">
        <v>328</v>
      </c>
      <c r="J9" s="176" t="s">
        <v>380</v>
      </c>
      <c r="K9" s="196">
        <v>0</v>
      </c>
      <c r="L9" s="196">
        <v>0</v>
      </c>
      <c r="M9" s="177">
        <f t="shared" si="6"/>
        <v>0</v>
      </c>
      <c r="N9" s="196">
        <v>0</v>
      </c>
      <c r="O9" s="178">
        <f t="shared" si="7"/>
        <v>0</v>
      </c>
      <c r="P9" s="124">
        <v>424000</v>
      </c>
      <c r="Q9" s="124">
        <v>170000</v>
      </c>
      <c r="R9" s="124">
        <f t="shared" si="0"/>
        <v>594000</v>
      </c>
      <c r="S9" s="124">
        <v>0</v>
      </c>
      <c r="T9" s="157">
        <f t="shared" si="1"/>
        <v>594000</v>
      </c>
      <c r="U9" s="124">
        <v>212000</v>
      </c>
      <c r="V9" s="124">
        <v>170000</v>
      </c>
      <c r="W9" s="124">
        <f t="shared" si="2"/>
        <v>382000</v>
      </c>
      <c r="X9" s="124">
        <v>0</v>
      </c>
      <c r="Y9" s="158">
        <f t="shared" si="3"/>
        <v>382000</v>
      </c>
      <c r="Z9" s="124" t="s">
        <v>500</v>
      </c>
      <c r="AA9" s="159" t="s">
        <v>189</v>
      </c>
      <c r="AB9" s="183" t="s">
        <v>427</v>
      </c>
      <c r="AC9" s="159" t="s">
        <v>415</v>
      </c>
      <c r="AD9" s="125"/>
      <c r="AE9" s="171" t="s">
        <v>235</v>
      </c>
      <c r="AF9" s="171" t="s">
        <v>236</v>
      </c>
      <c r="AG9" s="79"/>
      <c r="AH9" s="160"/>
      <c r="AI9" s="222"/>
      <c r="AJ9" s="222"/>
      <c r="AK9" s="222"/>
      <c r="AL9" s="222"/>
      <c r="AM9" s="235">
        <v>0</v>
      </c>
      <c r="AN9" s="232">
        <v>86090.37</v>
      </c>
      <c r="AO9" s="232">
        <f t="shared" si="4"/>
        <v>86090.37</v>
      </c>
      <c r="AP9" s="232">
        <v>0</v>
      </c>
      <c r="AQ9" s="232">
        <f t="shared" si="5"/>
        <v>86090.37</v>
      </c>
    </row>
    <row r="10" spans="1:43" ht="54" x14ac:dyDescent="0.25">
      <c r="A10" s="1"/>
      <c r="B10" s="175">
        <v>23</v>
      </c>
      <c r="C10" s="175" t="s">
        <v>379</v>
      </c>
      <c r="D10" s="175" t="s">
        <v>158</v>
      </c>
      <c r="E10" s="155" t="s">
        <v>151</v>
      </c>
      <c r="F10" s="169" t="s">
        <v>98</v>
      </c>
      <c r="G10" s="156" t="s">
        <v>174</v>
      </c>
      <c r="H10" s="156" t="s">
        <v>102</v>
      </c>
      <c r="I10" s="170" t="s">
        <v>388</v>
      </c>
      <c r="J10" s="176" t="s">
        <v>380</v>
      </c>
      <c r="K10" s="196">
        <v>148987.07</v>
      </c>
      <c r="L10" s="196">
        <v>0</v>
      </c>
      <c r="M10" s="177">
        <f t="shared" si="6"/>
        <v>148987.07</v>
      </c>
      <c r="N10" s="196">
        <v>0</v>
      </c>
      <c r="O10" s="178">
        <f t="shared" si="7"/>
        <v>148987.07</v>
      </c>
      <c r="P10" s="124">
        <v>250000</v>
      </c>
      <c r="Q10" s="124">
        <v>400000</v>
      </c>
      <c r="R10" s="124">
        <f t="shared" si="0"/>
        <v>650000</v>
      </c>
      <c r="S10" s="124">
        <v>0</v>
      </c>
      <c r="T10" s="157">
        <f t="shared" si="1"/>
        <v>650000</v>
      </c>
      <c r="U10" s="124">
        <v>250000</v>
      </c>
      <c r="V10" s="124">
        <v>400000</v>
      </c>
      <c r="W10" s="124">
        <f t="shared" si="2"/>
        <v>650000</v>
      </c>
      <c r="X10" s="124">
        <v>0</v>
      </c>
      <c r="Y10" s="158">
        <f t="shared" si="3"/>
        <v>650000</v>
      </c>
      <c r="Z10" s="124" t="s">
        <v>501</v>
      </c>
      <c r="AA10" s="159" t="s">
        <v>117</v>
      </c>
      <c r="AB10" s="159" t="s">
        <v>522</v>
      </c>
      <c r="AC10" s="159" t="s">
        <v>416</v>
      </c>
      <c r="AD10" s="125"/>
      <c r="AE10" s="171" t="s">
        <v>230</v>
      </c>
      <c r="AF10" s="171" t="s">
        <v>235</v>
      </c>
      <c r="AG10" s="171"/>
      <c r="AH10" s="171"/>
      <c r="AI10" s="222"/>
      <c r="AJ10" s="222"/>
      <c r="AK10" s="222"/>
      <c r="AL10" s="222"/>
      <c r="AM10" s="235">
        <v>10375.07</v>
      </c>
      <c r="AN10" s="232">
        <v>5377.4</v>
      </c>
      <c r="AO10" s="232">
        <f t="shared" si="4"/>
        <v>15752.47</v>
      </c>
      <c r="AP10" s="232">
        <v>0</v>
      </c>
      <c r="AQ10" s="232">
        <f t="shared" si="5"/>
        <v>15752.47</v>
      </c>
    </row>
    <row r="11" spans="1:43" ht="54" x14ac:dyDescent="0.25">
      <c r="A11" s="1"/>
      <c r="B11" s="175">
        <v>24</v>
      </c>
      <c r="C11" s="175" t="s">
        <v>153</v>
      </c>
      <c r="D11" s="175" t="s">
        <v>159</v>
      </c>
      <c r="E11" s="155" t="s">
        <v>329</v>
      </c>
      <c r="F11" s="169" t="s">
        <v>98</v>
      </c>
      <c r="G11" s="156" t="s">
        <v>175</v>
      </c>
      <c r="H11" s="156" t="s">
        <v>102</v>
      </c>
      <c r="I11" s="170" t="s">
        <v>388</v>
      </c>
      <c r="J11" s="176" t="s">
        <v>380</v>
      </c>
      <c r="K11" s="196">
        <v>101012.93</v>
      </c>
      <c r="L11" s="196">
        <v>0</v>
      </c>
      <c r="M11" s="177">
        <f t="shared" si="6"/>
        <v>101012.93</v>
      </c>
      <c r="N11" s="196">
        <v>0</v>
      </c>
      <c r="O11" s="178">
        <f t="shared" si="7"/>
        <v>101012.93</v>
      </c>
      <c r="P11" s="124">
        <v>420000</v>
      </c>
      <c r="Q11" s="124">
        <v>3346000</v>
      </c>
      <c r="R11" s="124">
        <f t="shared" si="0"/>
        <v>3766000</v>
      </c>
      <c r="S11" s="124">
        <v>0</v>
      </c>
      <c r="T11" s="157">
        <f t="shared" si="1"/>
        <v>3766000</v>
      </c>
      <c r="U11" s="124">
        <v>420000</v>
      </c>
      <c r="V11" s="124">
        <v>3346000</v>
      </c>
      <c r="W11" s="124">
        <f t="shared" si="2"/>
        <v>3766000</v>
      </c>
      <c r="X11" s="124">
        <v>0</v>
      </c>
      <c r="Y11" s="158">
        <f t="shared" si="3"/>
        <v>3766000</v>
      </c>
      <c r="Z11" s="124" t="s">
        <v>502</v>
      </c>
      <c r="AA11" s="159" t="s">
        <v>117</v>
      </c>
      <c r="AB11" s="159" t="s">
        <v>522</v>
      </c>
      <c r="AC11" s="159" t="s">
        <v>416</v>
      </c>
      <c r="AD11" s="125"/>
      <c r="AE11" s="171" t="s">
        <v>202</v>
      </c>
      <c r="AF11" s="171" t="s">
        <v>230</v>
      </c>
      <c r="AG11" s="171" t="s">
        <v>235</v>
      </c>
      <c r="AH11" s="171"/>
      <c r="AI11" s="222"/>
      <c r="AJ11" s="222"/>
      <c r="AK11" s="222"/>
      <c r="AL11" s="222"/>
      <c r="AM11" s="235">
        <v>64414.93</v>
      </c>
      <c r="AN11" s="232">
        <v>799902.28</v>
      </c>
      <c r="AO11" s="232">
        <f t="shared" si="4"/>
        <v>864317.21000000008</v>
      </c>
      <c r="AP11" s="232">
        <v>0</v>
      </c>
      <c r="AQ11" s="232">
        <f t="shared" si="5"/>
        <v>864317.21000000008</v>
      </c>
    </row>
    <row r="12" spans="1:43" ht="40.5" x14ac:dyDescent="0.25">
      <c r="A12" s="1"/>
      <c r="B12" s="175">
        <v>25</v>
      </c>
      <c r="C12" s="175">
        <v>6</v>
      </c>
      <c r="D12" s="175" t="s">
        <v>160</v>
      </c>
      <c r="E12" s="155" t="s">
        <v>389</v>
      </c>
      <c r="F12" s="169" t="s">
        <v>98</v>
      </c>
      <c r="G12" s="156" t="s">
        <v>176</v>
      </c>
      <c r="H12" s="156" t="s">
        <v>177</v>
      </c>
      <c r="I12" s="170" t="s">
        <v>178</v>
      </c>
      <c r="J12" s="176" t="s">
        <v>380</v>
      </c>
      <c r="K12" s="196">
        <v>0</v>
      </c>
      <c r="L12" s="196">
        <v>0</v>
      </c>
      <c r="M12" s="177">
        <f t="shared" si="6"/>
        <v>0</v>
      </c>
      <c r="N12" s="196">
        <v>0</v>
      </c>
      <c r="O12" s="178">
        <f t="shared" si="7"/>
        <v>0</v>
      </c>
      <c r="P12" s="124">
        <v>845000</v>
      </c>
      <c r="Q12" s="124">
        <v>140000</v>
      </c>
      <c r="R12" s="124">
        <f t="shared" si="0"/>
        <v>985000</v>
      </c>
      <c r="S12" s="124">
        <v>950000</v>
      </c>
      <c r="T12" s="157">
        <f t="shared" si="1"/>
        <v>1935000</v>
      </c>
      <c r="U12" s="124">
        <v>845000</v>
      </c>
      <c r="V12" s="124">
        <v>140000</v>
      </c>
      <c r="W12" s="124">
        <f t="shared" si="2"/>
        <v>985000</v>
      </c>
      <c r="X12" s="124">
        <v>950000</v>
      </c>
      <c r="Y12" s="158">
        <f t="shared" si="3"/>
        <v>1935000</v>
      </c>
      <c r="Z12" s="124" t="s">
        <v>503</v>
      </c>
      <c r="AA12" s="159">
        <v>830440</v>
      </c>
      <c r="AB12" s="159" t="s">
        <v>177</v>
      </c>
      <c r="AC12" s="159" t="s">
        <v>415</v>
      </c>
      <c r="AD12" s="125"/>
      <c r="AE12" s="171" t="s">
        <v>206</v>
      </c>
      <c r="AF12" s="171" t="s">
        <v>223</v>
      </c>
      <c r="AG12" s="171" t="s">
        <v>237</v>
      </c>
      <c r="AH12" s="163"/>
      <c r="AI12" s="222"/>
      <c r="AJ12" s="222"/>
      <c r="AK12" s="222"/>
      <c r="AL12" s="222"/>
      <c r="AM12" s="235">
        <v>32141</v>
      </c>
      <c r="AN12" s="232">
        <v>28373.91</v>
      </c>
      <c r="AO12" s="232">
        <f t="shared" si="4"/>
        <v>60514.91</v>
      </c>
      <c r="AP12" s="232">
        <v>174716.85</v>
      </c>
      <c r="AQ12" s="232">
        <f t="shared" si="5"/>
        <v>235231.76</v>
      </c>
    </row>
    <row r="13" spans="1:43" ht="54" x14ac:dyDescent="0.25">
      <c r="A13" s="1"/>
      <c r="B13" s="175">
        <v>26</v>
      </c>
      <c r="C13" s="175">
        <v>6</v>
      </c>
      <c r="D13" s="175" t="s">
        <v>160</v>
      </c>
      <c r="E13" s="155" t="s">
        <v>390</v>
      </c>
      <c r="F13" s="169" t="s">
        <v>98</v>
      </c>
      <c r="G13" s="156" t="s">
        <v>179</v>
      </c>
      <c r="H13" s="156" t="s">
        <v>39</v>
      </c>
      <c r="I13" s="170" t="s">
        <v>54</v>
      </c>
      <c r="J13" s="176" t="s">
        <v>380</v>
      </c>
      <c r="K13" s="196">
        <v>0</v>
      </c>
      <c r="L13" s="196">
        <v>0</v>
      </c>
      <c r="M13" s="177">
        <f t="shared" si="6"/>
        <v>0</v>
      </c>
      <c r="N13" s="196">
        <v>1337516.6299999999</v>
      </c>
      <c r="O13" s="178">
        <f t="shared" si="7"/>
        <v>1337516.6299999999</v>
      </c>
      <c r="P13" s="124">
        <v>1977700</v>
      </c>
      <c r="Q13" s="124">
        <v>2338000</v>
      </c>
      <c r="R13" s="124">
        <f t="shared" si="0"/>
        <v>4315700</v>
      </c>
      <c r="S13" s="124">
        <v>746600</v>
      </c>
      <c r="T13" s="157">
        <f t="shared" si="1"/>
        <v>5062300</v>
      </c>
      <c r="U13" s="124">
        <v>1977700</v>
      </c>
      <c r="V13" s="124">
        <v>2019000</v>
      </c>
      <c r="W13" s="124">
        <f t="shared" si="2"/>
        <v>3996700</v>
      </c>
      <c r="X13" s="124">
        <v>943400</v>
      </c>
      <c r="Y13" s="158">
        <f t="shared" si="3"/>
        <v>4940100</v>
      </c>
      <c r="Z13" s="124" t="s">
        <v>504</v>
      </c>
      <c r="AA13" s="159">
        <v>830400</v>
      </c>
      <c r="AB13" s="159" t="s">
        <v>39</v>
      </c>
      <c r="AC13" s="159" t="s">
        <v>416</v>
      </c>
      <c r="AD13" s="125"/>
      <c r="AE13" s="172" t="s">
        <v>205</v>
      </c>
      <c r="AF13" s="172" t="s">
        <v>241</v>
      </c>
      <c r="AG13" s="80"/>
      <c r="AH13" s="163"/>
      <c r="AI13" s="222"/>
      <c r="AJ13" s="222"/>
      <c r="AK13" s="222"/>
      <c r="AL13" s="222"/>
      <c r="AM13" s="235">
        <v>0</v>
      </c>
      <c r="AN13" s="232">
        <v>507410.62</v>
      </c>
      <c r="AO13" s="232">
        <f t="shared" si="4"/>
        <v>507410.62</v>
      </c>
      <c r="AP13" s="232">
        <v>835870.23</v>
      </c>
      <c r="AQ13" s="232">
        <f t="shared" si="5"/>
        <v>1343280.85</v>
      </c>
    </row>
    <row r="14" spans="1:43" s="123" customFormat="1" ht="40.5" x14ac:dyDescent="0.25">
      <c r="A14" s="122"/>
      <c r="B14" s="175">
        <v>27</v>
      </c>
      <c r="C14" s="175">
        <v>2</v>
      </c>
      <c r="D14" s="175" t="s">
        <v>391</v>
      </c>
      <c r="E14" s="155" t="s">
        <v>392</v>
      </c>
      <c r="F14" s="169" t="s">
        <v>98</v>
      </c>
      <c r="G14" s="156" t="s">
        <v>393</v>
      </c>
      <c r="H14" s="156" t="s">
        <v>394</v>
      </c>
      <c r="I14" s="170" t="s">
        <v>53</v>
      </c>
      <c r="J14" s="176" t="s">
        <v>380</v>
      </c>
      <c r="K14" s="196">
        <v>0</v>
      </c>
      <c r="L14" s="196">
        <v>0</v>
      </c>
      <c r="M14" s="177">
        <f t="shared" si="6"/>
        <v>0</v>
      </c>
      <c r="N14" s="196">
        <v>0</v>
      </c>
      <c r="O14" s="178">
        <f t="shared" si="7"/>
        <v>0</v>
      </c>
      <c r="P14" s="124">
        <v>7133924</v>
      </c>
      <c r="Q14" s="124">
        <v>1925000</v>
      </c>
      <c r="R14" s="124">
        <f t="shared" si="0"/>
        <v>9058924</v>
      </c>
      <c r="S14" s="124">
        <v>0</v>
      </c>
      <c r="T14" s="157">
        <f t="shared" si="1"/>
        <v>9058924</v>
      </c>
      <c r="U14" s="124">
        <v>7289792</v>
      </c>
      <c r="V14" s="124">
        <v>1936000</v>
      </c>
      <c r="W14" s="124">
        <f t="shared" si="2"/>
        <v>9225792</v>
      </c>
      <c r="X14" s="124">
        <v>0</v>
      </c>
      <c r="Y14" s="158">
        <f t="shared" si="3"/>
        <v>9225792</v>
      </c>
      <c r="Z14" s="124" t="s">
        <v>505</v>
      </c>
      <c r="AA14" s="159" t="s">
        <v>190</v>
      </c>
      <c r="AB14" s="159" t="s">
        <v>417</v>
      </c>
      <c r="AC14" s="159" t="s">
        <v>415</v>
      </c>
      <c r="AD14" s="125"/>
      <c r="AE14" s="172" t="s">
        <v>198</v>
      </c>
      <c r="AF14" s="172" t="s">
        <v>199</v>
      </c>
      <c r="AG14" s="172" t="s">
        <v>195</v>
      </c>
      <c r="AH14" s="172" t="s">
        <v>196</v>
      </c>
      <c r="AI14" s="172" t="s">
        <v>353</v>
      </c>
      <c r="AJ14" s="225" t="s">
        <v>203</v>
      </c>
      <c r="AK14" s="172" t="s">
        <v>207</v>
      </c>
      <c r="AL14" s="172" t="s">
        <v>231</v>
      </c>
      <c r="AM14" s="237">
        <v>852348</v>
      </c>
      <c r="AN14" s="234">
        <v>85828.2</v>
      </c>
      <c r="AO14" s="232">
        <f t="shared" si="4"/>
        <v>938176.2</v>
      </c>
      <c r="AP14" s="234">
        <v>0</v>
      </c>
      <c r="AQ14" s="232">
        <f t="shared" si="5"/>
        <v>938176.2</v>
      </c>
    </row>
    <row r="15" spans="1:43" ht="40.5" x14ac:dyDescent="0.25">
      <c r="A15" s="1"/>
      <c r="B15" s="175">
        <v>28</v>
      </c>
      <c r="C15" s="175">
        <v>5</v>
      </c>
      <c r="D15" s="175" t="s">
        <v>155</v>
      </c>
      <c r="E15" s="155" t="s">
        <v>152</v>
      </c>
      <c r="F15" s="169" t="s">
        <v>98</v>
      </c>
      <c r="G15" s="156" t="s">
        <v>395</v>
      </c>
      <c r="H15" s="156" t="s">
        <v>180</v>
      </c>
      <c r="I15" s="170" t="s">
        <v>181</v>
      </c>
      <c r="J15" s="176" t="s">
        <v>380</v>
      </c>
      <c r="K15" s="196">
        <v>0</v>
      </c>
      <c r="L15" s="196">
        <v>0</v>
      </c>
      <c r="M15" s="177">
        <f t="shared" si="6"/>
        <v>0</v>
      </c>
      <c r="N15" s="196">
        <v>0</v>
      </c>
      <c r="O15" s="178">
        <f t="shared" si="7"/>
        <v>0</v>
      </c>
      <c r="P15" s="124">
        <v>630000</v>
      </c>
      <c r="Q15" s="124">
        <v>400000</v>
      </c>
      <c r="R15" s="124">
        <f t="shared" si="0"/>
        <v>1030000</v>
      </c>
      <c r="S15" s="124">
        <v>100000</v>
      </c>
      <c r="T15" s="157">
        <f t="shared" si="1"/>
        <v>1130000</v>
      </c>
      <c r="U15" s="124">
        <v>630000</v>
      </c>
      <c r="V15" s="124">
        <v>400000</v>
      </c>
      <c r="W15" s="124">
        <f t="shared" si="2"/>
        <v>1030000</v>
      </c>
      <c r="X15" s="124">
        <v>100000</v>
      </c>
      <c r="Y15" s="158">
        <f t="shared" si="3"/>
        <v>1130000</v>
      </c>
      <c r="Z15" s="124" t="s">
        <v>506</v>
      </c>
      <c r="AA15" s="162" t="s">
        <v>418</v>
      </c>
      <c r="AB15" s="162" t="s">
        <v>180</v>
      </c>
      <c r="AC15" s="159" t="s">
        <v>415</v>
      </c>
      <c r="AD15" s="125"/>
      <c r="AE15" s="172" t="s">
        <v>240</v>
      </c>
      <c r="AF15" s="163"/>
      <c r="AG15" s="80"/>
      <c r="AH15" s="163"/>
      <c r="AI15" s="222"/>
      <c r="AJ15" s="222"/>
      <c r="AK15" s="222"/>
      <c r="AL15" s="222"/>
      <c r="AM15" s="235">
        <v>0</v>
      </c>
      <c r="AN15" s="232">
        <v>676.65</v>
      </c>
      <c r="AO15" s="232">
        <f t="shared" si="4"/>
        <v>676.65</v>
      </c>
      <c r="AP15" s="232">
        <v>0</v>
      </c>
      <c r="AQ15" s="232">
        <f t="shared" si="5"/>
        <v>676.65</v>
      </c>
    </row>
    <row r="16" spans="1:43" ht="54" x14ac:dyDescent="0.25">
      <c r="A16" s="1"/>
      <c r="B16" s="175">
        <v>29</v>
      </c>
      <c r="C16" s="175">
        <v>1</v>
      </c>
      <c r="D16" s="155" t="s">
        <v>161</v>
      </c>
      <c r="E16" s="155" t="s">
        <v>396</v>
      </c>
      <c r="F16" s="173" t="s">
        <v>98</v>
      </c>
      <c r="G16" s="156" t="s">
        <v>397</v>
      </c>
      <c r="H16" s="156" t="s">
        <v>398</v>
      </c>
      <c r="I16" s="170" t="s">
        <v>100</v>
      </c>
      <c r="J16" s="176" t="s">
        <v>380</v>
      </c>
      <c r="K16" s="196">
        <v>0</v>
      </c>
      <c r="L16" s="196">
        <v>14801.37</v>
      </c>
      <c r="M16" s="177">
        <f t="shared" si="6"/>
        <v>14801.37</v>
      </c>
      <c r="N16" s="196">
        <v>0</v>
      </c>
      <c r="O16" s="178">
        <f t="shared" si="7"/>
        <v>14801.37</v>
      </c>
      <c r="P16" s="124">
        <v>1900000</v>
      </c>
      <c r="Q16" s="124">
        <v>510000</v>
      </c>
      <c r="R16" s="124">
        <f t="shared" si="0"/>
        <v>2410000</v>
      </c>
      <c r="S16" s="124">
        <v>110000</v>
      </c>
      <c r="T16" s="157">
        <f t="shared" si="1"/>
        <v>2520000</v>
      </c>
      <c r="U16" s="124">
        <v>1930000</v>
      </c>
      <c r="V16" s="124">
        <v>520000</v>
      </c>
      <c r="W16" s="124">
        <f t="shared" si="2"/>
        <v>2450000</v>
      </c>
      <c r="X16" s="124">
        <v>150000</v>
      </c>
      <c r="Y16" s="158">
        <f t="shared" si="3"/>
        <v>2600000</v>
      </c>
      <c r="Z16" s="124" t="s">
        <v>507</v>
      </c>
      <c r="AA16" s="164" t="s">
        <v>123</v>
      </c>
      <c r="AB16" s="164" t="s">
        <v>398</v>
      </c>
      <c r="AC16" s="159" t="s">
        <v>416</v>
      </c>
      <c r="AD16" s="125"/>
      <c r="AE16" s="172" t="s">
        <v>201</v>
      </c>
      <c r="AF16" s="227" t="s">
        <v>237</v>
      </c>
      <c r="AG16" s="172" t="s">
        <v>239</v>
      </c>
      <c r="AH16" s="163"/>
      <c r="AI16" s="172"/>
      <c r="AJ16" s="222"/>
      <c r="AK16" s="222"/>
      <c r="AL16" s="222"/>
      <c r="AM16" s="235">
        <v>94233</v>
      </c>
      <c r="AN16" s="232">
        <v>445348.79</v>
      </c>
      <c r="AO16" s="232">
        <f t="shared" si="4"/>
        <v>539581.79</v>
      </c>
      <c r="AP16" s="232">
        <v>110000</v>
      </c>
      <c r="AQ16" s="232">
        <f t="shared" si="5"/>
        <v>649581.79</v>
      </c>
    </row>
    <row r="17" spans="1:43" ht="40.5" x14ac:dyDescent="0.25">
      <c r="A17" s="1"/>
      <c r="B17" s="175">
        <v>34</v>
      </c>
      <c r="C17" s="175">
        <v>3</v>
      </c>
      <c r="D17" s="175" t="s">
        <v>154</v>
      </c>
      <c r="E17" s="155" t="s">
        <v>147</v>
      </c>
      <c r="F17" s="173" t="s">
        <v>98</v>
      </c>
      <c r="G17" s="174" t="s">
        <v>399</v>
      </c>
      <c r="H17" s="174" t="s">
        <v>400</v>
      </c>
      <c r="I17" s="170" t="s">
        <v>162</v>
      </c>
      <c r="J17" s="176" t="s">
        <v>380</v>
      </c>
      <c r="K17" s="196">
        <v>0</v>
      </c>
      <c r="L17" s="196">
        <v>0</v>
      </c>
      <c r="M17" s="177">
        <f t="shared" si="6"/>
        <v>0</v>
      </c>
      <c r="N17" s="196">
        <v>0</v>
      </c>
      <c r="O17" s="178">
        <f t="shared" si="7"/>
        <v>0</v>
      </c>
      <c r="P17" s="124">
        <v>960000</v>
      </c>
      <c r="Q17" s="124">
        <v>765000</v>
      </c>
      <c r="R17" s="124">
        <f t="shared" si="0"/>
        <v>1725000</v>
      </c>
      <c r="S17" s="124">
        <v>0</v>
      </c>
      <c r="T17" s="157">
        <f t="shared" si="1"/>
        <v>1725000</v>
      </c>
      <c r="U17" s="124">
        <v>960000</v>
      </c>
      <c r="V17" s="124">
        <v>765000</v>
      </c>
      <c r="W17" s="124">
        <f t="shared" si="2"/>
        <v>1725000</v>
      </c>
      <c r="X17" s="124">
        <v>0</v>
      </c>
      <c r="Y17" s="158">
        <f t="shared" si="3"/>
        <v>1725000</v>
      </c>
      <c r="Z17" s="124" t="s">
        <v>508</v>
      </c>
      <c r="AA17" s="159" t="s">
        <v>183</v>
      </c>
      <c r="AB17" s="159" t="s">
        <v>400</v>
      </c>
      <c r="AC17" s="159" t="s">
        <v>415</v>
      </c>
      <c r="AD17" s="125"/>
      <c r="AE17" s="228" t="s">
        <v>354</v>
      </c>
      <c r="AF17" s="163" t="s">
        <v>213</v>
      </c>
      <c r="AG17" s="80" t="s">
        <v>214</v>
      </c>
      <c r="AH17" s="226" t="s">
        <v>355</v>
      </c>
      <c r="AI17" s="163" t="s">
        <v>221</v>
      </c>
      <c r="AJ17" s="222"/>
      <c r="AK17" s="163"/>
      <c r="AL17" s="222"/>
      <c r="AM17" s="235">
        <v>860000</v>
      </c>
      <c r="AN17" s="232">
        <v>693062</v>
      </c>
      <c r="AO17" s="232">
        <f t="shared" si="4"/>
        <v>1553062</v>
      </c>
      <c r="AP17" s="232">
        <v>0</v>
      </c>
      <c r="AQ17" s="232">
        <f t="shared" si="5"/>
        <v>1553062</v>
      </c>
    </row>
    <row r="18" spans="1:43" ht="54" x14ac:dyDescent="0.25">
      <c r="A18" s="1"/>
      <c r="B18" s="175">
        <v>35</v>
      </c>
      <c r="C18" s="175">
        <v>5</v>
      </c>
      <c r="D18" s="175" t="s">
        <v>155</v>
      </c>
      <c r="E18" s="155" t="s">
        <v>148</v>
      </c>
      <c r="F18" s="173" t="s">
        <v>98</v>
      </c>
      <c r="G18" s="156" t="s">
        <v>401</v>
      </c>
      <c r="H18" s="174" t="s">
        <v>520</v>
      </c>
      <c r="I18" s="170" t="s">
        <v>521</v>
      </c>
      <c r="J18" s="176" t="s">
        <v>380</v>
      </c>
      <c r="K18" s="196">
        <v>0</v>
      </c>
      <c r="L18" s="196">
        <v>0</v>
      </c>
      <c r="M18" s="177">
        <f t="shared" si="6"/>
        <v>0</v>
      </c>
      <c r="N18" s="196">
        <v>0</v>
      </c>
      <c r="O18" s="178">
        <f t="shared" si="7"/>
        <v>0</v>
      </c>
      <c r="P18" s="124">
        <v>0</v>
      </c>
      <c r="Q18" s="124">
        <v>170000</v>
      </c>
      <c r="R18" s="124">
        <f t="shared" si="0"/>
        <v>170000</v>
      </c>
      <c r="S18" s="124">
        <v>1200000</v>
      </c>
      <c r="T18" s="157">
        <f t="shared" si="1"/>
        <v>1370000</v>
      </c>
      <c r="U18" s="124">
        <v>0</v>
      </c>
      <c r="V18" s="124">
        <v>900000</v>
      </c>
      <c r="W18" s="124">
        <f t="shared" si="2"/>
        <v>900000</v>
      </c>
      <c r="X18" s="124">
        <v>0</v>
      </c>
      <c r="Y18" s="158">
        <f t="shared" si="3"/>
        <v>900000</v>
      </c>
      <c r="Z18" s="124" t="s">
        <v>509</v>
      </c>
      <c r="AA18" s="159" t="s">
        <v>186</v>
      </c>
      <c r="AB18" s="159" t="s">
        <v>520</v>
      </c>
      <c r="AC18" s="159" t="s">
        <v>415</v>
      </c>
      <c r="AD18" s="125"/>
      <c r="AE18" s="163" t="s">
        <v>237</v>
      </c>
      <c r="AF18" s="163"/>
      <c r="AG18" s="163"/>
      <c r="AH18" s="163"/>
      <c r="AI18" s="222"/>
      <c r="AJ18" s="222"/>
      <c r="AK18" s="222"/>
      <c r="AL18" s="222"/>
      <c r="AM18" s="235">
        <v>0</v>
      </c>
      <c r="AN18" s="232">
        <v>170000</v>
      </c>
      <c r="AO18" s="232">
        <f t="shared" si="4"/>
        <v>170000</v>
      </c>
      <c r="AP18" s="232">
        <v>1200000</v>
      </c>
      <c r="AQ18" s="232">
        <f t="shared" si="5"/>
        <v>1370000</v>
      </c>
    </row>
    <row r="19" spans="1:43" ht="54" x14ac:dyDescent="0.25">
      <c r="A19" s="1"/>
      <c r="B19" s="175">
        <v>36</v>
      </c>
      <c r="C19" s="175">
        <v>5</v>
      </c>
      <c r="D19" s="175" t="s">
        <v>155</v>
      </c>
      <c r="E19" s="155" t="s">
        <v>148</v>
      </c>
      <c r="F19" s="173" t="s">
        <v>98</v>
      </c>
      <c r="G19" s="174" t="s">
        <v>402</v>
      </c>
      <c r="H19" s="174" t="s">
        <v>520</v>
      </c>
      <c r="I19" s="170" t="s">
        <v>521</v>
      </c>
      <c r="J19" s="176" t="s">
        <v>380</v>
      </c>
      <c r="K19" s="196">
        <v>0</v>
      </c>
      <c r="L19" s="196">
        <v>0</v>
      </c>
      <c r="M19" s="177">
        <f t="shared" si="6"/>
        <v>0</v>
      </c>
      <c r="N19" s="196">
        <v>0</v>
      </c>
      <c r="O19" s="178">
        <f t="shared" si="7"/>
        <v>0</v>
      </c>
      <c r="P19" s="124">
        <v>0</v>
      </c>
      <c r="Q19" s="124">
        <v>220000</v>
      </c>
      <c r="R19" s="124">
        <f t="shared" si="0"/>
        <v>220000</v>
      </c>
      <c r="S19" s="124">
        <v>200000</v>
      </c>
      <c r="T19" s="157">
        <f t="shared" si="1"/>
        <v>420000</v>
      </c>
      <c r="U19" s="124">
        <v>0</v>
      </c>
      <c r="V19" s="124">
        <v>196000</v>
      </c>
      <c r="W19" s="124">
        <f t="shared" si="2"/>
        <v>196000</v>
      </c>
      <c r="X19" s="124">
        <v>444000</v>
      </c>
      <c r="Y19" s="158">
        <f t="shared" si="3"/>
        <v>640000</v>
      </c>
      <c r="Z19" s="124" t="s">
        <v>510</v>
      </c>
      <c r="AA19" s="159" t="s">
        <v>186</v>
      </c>
      <c r="AB19" s="159" t="s">
        <v>520</v>
      </c>
      <c r="AC19" s="159" t="s">
        <v>415</v>
      </c>
      <c r="AD19" s="125"/>
      <c r="AE19" s="170" t="s">
        <v>237</v>
      </c>
      <c r="AF19" s="163"/>
      <c r="AG19" s="80"/>
      <c r="AH19" s="163"/>
      <c r="AI19" s="222"/>
      <c r="AJ19" s="222"/>
      <c r="AK19" s="222"/>
      <c r="AL19" s="222"/>
      <c r="AM19" s="235">
        <v>0</v>
      </c>
      <c r="AN19" s="232">
        <v>220000</v>
      </c>
      <c r="AO19" s="232">
        <f t="shared" si="4"/>
        <v>220000</v>
      </c>
      <c r="AP19" s="232">
        <v>200000</v>
      </c>
      <c r="AQ19" s="232">
        <f t="shared" si="5"/>
        <v>420000</v>
      </c>
    </row>
    <row r="20" spans="1:43" ht="40.5" x14ac:dyDescent="0.25">
      <c r="A20" s="1"/>
      <c r="B20" s="175">
        <v>37</v>
      </c>
      <c r="C20" s="175">
        <v>5</v>
      </c>
      <c r="D20" s="175" t="s">
        <v>155</v>
      </c>
      <c r="E20" s="155" t="s">
        <v>148</v>
      </c>
      <c r="F20" s="173" t="s">
        <v>98</v>
      </c>
      <c r="G20" s="231" t="s">
        <v>523</v>
      </c>
      <c r="H20" s="156" t="s">
        <v>166</v>
      </c>
      <c r="I20" s="170" t="s">
        <v>167</v>
      </c>
      <c r="J20" s="176" t="s">
        <v>380</v>
      </c>
      <c r="K20" s="196">
        <v>0</v>
      </c>
      <c r="L20" s="196">
        <v>0</v>
      </c>
      <c r="M20" s="177">
        <f t="shared" si="6"/>
        <v>0</v>
      </c>
      <c r="N20" s="196">
        <v>0</v>
      </c>
      <c r="O20" s="178">
        <f t="shared" si="7"/>
        <v>0</v>
      </c>
      <c r="P20" s="124">
        <v>0</v>
      </c>
      <c r="Q20" s="124">
        <v>30000</v>
      </c>
      <c r="R20" s="124">
        <f t="shared" si="0"/>
        <v>30000</v>
      </c>
      <c r="S20" s="124">
        <v>650000</v>
      </c>
      <c r="T20" s="157">
        <f t="shared" si="1"/>
        <v>680000</v>
      </c>
      <c r="U20" s="124">
        <v>0</v>
      </c>
      <c r="V20" s="124">
        <v>30000</v>
      </c>
      <c r="W20" s="124">
        <f t="shared" si="2"/>
        <v>30000</v>
      </c>
      <c r="X20" s="124">
        <v>650000</v>
      </c>
      <c r="Y20" s="158">
        <f t="shared" si="3"/>
        <v>680000</v>
      </c>
      <c r="Z20" s="124" t="s">
        <v>511</v>
      </c>
      <c r="AA20" s="159" t="s">
        <v>185</v>
      </c>
      <c r="AB20" s="159" t="s">
        <v>166</v>
      </c>
      <c r="AC20" s="159" t="s">
        <v>415</v>
      </c>
      <c r="AD20" s="171"/>
      <c r="AE20" s="170" t="s">
        <v>237</v>
      </c>
      <c r="AF20" s="163"/>
      <c r="AG20" s="80"/>
      <c r="AH20" s="163"/>
      <c r="AI20" s="222"/>
      <c r="AJ20" s="222"/>
      <c r="AK20" s="222"/>
      <c r="AL20" s="222"/>
      <c r="AM20" s="235">
        <v>0</v>
      </c>
      <c r="AN20" s="232">
        <v>30000</v>
      </c>
      <c r="AO20" s="232">
        <f t="shared" si="4"/>
        <v>30000</v>
      </c>
      <c r="AP20" s="232">
        <v>650000</v>
      </c>
      <c r="AQ20" s="232">
        <f t="shared" si="5"/>
        <v>680000</v>
      </c>
    </row>
    <row r="21" spans="1:43" ht="40.5" x14ac:dyDescent="0.25">
      <c r="A21" s="1"/>
      <c r="B21" s="175">
        <v>38</v>
      </c>
      <c r="C21" s="175">
        <v>1</v>
      </c>
      <c r="D21" s="175" t="s">
        <v>157</v>
      </c>
      <c r="E21" s="155" t="s">
        <v>99</v>
      </c>
      <c r="F21" s="173" t="s">
        <v>43</v>
      </c>
      <c r="G21" s="156" t="s">
        <v>403</v>
      </c>
      <c r="H21" s="156" t="s">
        <v>404</v>
      </c>
      <c r="I21" s="170" t="s">
        <v>405</v>
      </c>
      <c r="J21" s="176" t="s">
        <v>380</v>
      </c>
      <c r="K21" s="196">
        <v>0</v>
      </c>
      <c r="L21" s="196">
        <v>0</v>
      </c>
      <c r="M21" s="177">
        <f t="shared" si="6"/>
        <v>0</v>
      </c>
      <c r="N21" s="196">
        <v>0</v>
      </c>
      <c r="O21" s="178">
        <f t="shared" si="7"/>
        <v>0</v>
      </c>
      <c r="P21" s="124">
        <v>0</v>
      </c>
      <c r="Q21" s="124">
        <v>0</v>
      </c>
      <c r="R21" s="124">
        <f t="shared" si="0"/>
        <v>0</v>
      </c>
      <c r="S21" s="124">
        <v>892000</v>
      </c>
      <c r="T21" s="157">
        <f t="shared" si="1"/>
        <v>892000</v>
      </c>
      <c r="U21" s="124">
        <v>0</v>
      </c>
      <c r="V21" s="124">
        <v>0</v>
      </c>
      <c r="W21" s="124">
        <f t="shared" si="2"/>
        <v>0</v>
      </c>
      <c r="X21" s="124">
        <v>562000</v>
      </c>
      <c r="Y21" s="158">
        <f t="shared" si="3"/>
        <v>562000</v>
      </c>
      <c r="Z21" s="124" t="s">
        <v>512</v>
      </c>
      <c r="AA21" s="159" t="s">
        <v>184</v>
      </c>
      <c r="AB21" s="159" t="s">
        <v>404</v>
      </c>
      <c r="AC21" s="159" t="s">
        <v>415</v>
      </c>
      <c r="AD21" s="125"/>
      <c r="AE21" s="171" t="s">
        <v>204</v>
      </c>
      <c r="AF21" s="163"/>
      <c r="AG21" s="80"/>
      <c r="AH21" s="163"/>
      <c r="AI21" s="222"/>
      <c r="AJ21" s="222"/>
      <c r="AK21" s="222"/>
      <c r="AL21" s="222"/>
      <c r="AM21" s="235">
        <v>0</v>
      </c>
      <c r="AN21" s="232">
        <v>0</v>
      </c>
      <c r="AO21" s="232">
        <f t="shared" si="4"/>
        <v>0</v>
      </c>
      <c r="AP21" s="232">
        <v>792750</v>
      </c>
      <c r="AQ21" s="232">
        <f t="shared" si="5"/>
        <v>792750</v>
      </c>
    </row>
    <row r="22" spans="1:43" ht="40.5" x14ac:dyDescent="0.25">
      <c r="A22" s="1"/>
      <c r="B22" s="175">
        <v>39</v>
      </c>
      <c r="C22" s="175">
        <v>5</v>
      </c>
      <c r="D22" s="175" t="s">
        <v>155</v>
      </c>
      <c r="E22" s="155" t="s">
        <v>148</v>
      </c>
      <c r="F22" s="173" t="s">
        <v>33</v>
      </c>
      <c r="G22" s="174" t="s">
        <v>406</v>
      </c>
      <c r="H22" s="174" t="s">
        <v>103</v>
      </c>
      <c r="I22" s="170" t="s">
        <v>143</v>
      </c>
      <c r="J22" s="176">
        <v>2025</v>
      </c>
      <c r="K22" s="196">
        <v>0</v>
      </c>
      <c r="L22" s="196">
        <v>0</v>
      </c>
      <c r="M22" s="177">
        <f t="shared" si="6"/>
        <v>0</v>
      </c>
      <c r="N22" s="196">
        <v>0</v>
      </c>
      <c r="O22" s="178">
        <f t="shared" si="7"/>
        <v>0</v>
      </c>
      <c r="P22" s="124">
        <v>0</v>
      </c>
      <c r="Q22" s="124">
        <v>0</v>
      </c>
      <c r="R22" s="124">
        <f t="shared" si="0"/>
        <v>0</v>
      </c>
      <c r="S22" s="124">
        <v>0</v>
      </c>
      <c r="T22" s="157">
        <f t="shared" si="1"/>
        <v>0</v>
      </c>
      <c r="U22" s="124">
        <v>140000</v>
      </c>
      <c r="V22" s="124">
        <v>150000</v>
      </c>
      <c r="W22" s="124">
        <f t="shared" si="2"/>
        <v>290000</v>
      </c>
      <c r="X22" s="124">
        <v>0</v>
      </c>
      <c r="Y22" s="158">
        <f t="shared" si="3"/>
        <v>290000</v>
      </c>
      <c r="Z22" s="124" t="s">
        <v>513</v>
      </c>
      <c r="AA22" s="159" t="s">
        <v>115</v>
      </c>
      <c r="AB22" s="159" t="s">
        <v>103</v>
      </c>
      <c r="AC22" s="159" t="s">
        <v>415</v>
      </c>
      <c r="AD22" s="125"/>
      <c r="AE22" s="163" t="s">
        <v>200</v>
      </c>
      <c r="AF22" s="163" t="s">
        <v>211</v>
      </c>
      <c r="AG22" s="170"/>
      <c r="AH22" s="163"/>
      <c r="AI22" s="222"/>
      <c r="AJ22" s="222"/>
      <c r="AK22" s="222"/>
      <c r="AL22" s="222"/>
      <c r="AM22" s="235">
        <v>0</v>
      </c>
      <c r="AN22" s="232">
        <v>0</v>
      </c>
      <c r="AO22" s="232">
        <f t="shared" si="4"/>
        <v>0</v>
      </c>
      <c r="AP22" s="232">
        <v>0</v>
      </c>
      <c r="AQ22" s="232">
        <f t="shared" si="5"/>
        <v>0</v>
      </c>
    </row>
    <row r="23" spans="1:43" ht="40.5" x14ac:dyDescent="0.25">
      <c r="A23" s="1"/>
      <c r="B23" s="175">
        <v>40</v>
      </c>
      <c r="C23" s="175">
        <v>5</v>
      </c>
      <c r="D23" s="175" t="s">
        <v>407</v>
      </c>
      <c r="E23" s="155" t="s">
        <v>148</v>
      </c>
      <c r="F23" s="173" t="s">
        <v>98</v>
      </c>
      <c r="G23" s="174" t="s">
        <v>408</v>
      </c>
      <c r="H23" s="156" t="s">
        <v>427</v>
      </c>
      <c r="I23" s="170" t="s">
        <v>328</v>
      </c>
      <c r="J23" s="176">
        <v>2025</v>
      </c>
      <c r="K23" s="196">
        <v>0</v>
      </c>
      <c r="L23" s="196">
        <v>0</v>
      </c>
      <c r="M23" s="177">
        <f t="shared" si="6"/>
        <v>0</v>
      </c>
      <c r="N23" s="196">
        <v>0</v>
      </c>
      <c r="O23" s="178">
        <f t="shared" si="7"/>
        <v>0</v>
      </c>
      <c r="P23" s="124">
        <v>0</v>
      </c>
      <c r="Q23" s="124">
        <v>0</v>
      </c>
      <c r="R23" s="124">
        <f t="shared" si="0"/>
        <v>0</v>
      </c>
      <c r="S23" s="124">
        <v>0</v>
      </c>
      <c r="T23" s="157">
        <f t="shared" si="1"/>
        <v>0</v>
      </c>
      <c r="U23" s="124">
        <v>350000</v>
      </c>
      <c r="V23" s="124">
        <v>250000</v>
      </c>
      <c r="W23" s="124">
        <f t="shared" si="2"/>
        <v>600000</v>
      </c>
      <c r="X23" s="124">
        <v>0</v>
      </c>
      <c r="Y23" s="158">
        <f t="shared" si="3"/>
        <v>600000</v>
      </c>
      <c r="Z23" s="230" t="s">
        <v>515</v>
      </c>
      <c r="AA23" s="159" t="s">
        <v>188</v>
      </c>
      <c r="AB23" s="156" t="s">
        <v>427</v>
      </c>
      <c r="AC23" s="159" t="s">
        <v>415</v>
      </c>
      <c r="AD23" s="125"/>
      <c r="AE23" s="228" t="s">
        <v>419</v>
      </c>
      <c r="AF23" s="163"/>
      <c r="AG23" s="80"/>
      <c r="AH23" s="163"/>
      <c r="AI23" s="222"/>
      <c r="AJ23" s="222"/>
      <c r="AK23" s="222"/>
      <c r="AL23" s="222"/>
      <c r="AM23" s="235">
        <v>0</v>
      </c>
      <c r="AN23" s="232">
        <v>0</v>
      </c>
      <c r="AO23" s="232">
        <f t="shared" si="4"/>
        <v>0</v>
      </c>
      <c r="AP23" s="232">
        <v>0</v>
      </c>
      <c r="AQ23" s="232">
        <f t="shared" si="5"/>
        <v>0</v>
      </c>
    </row>
    <row r="24" spans="1:43" ht="14.25" customHeight="1" x14ac:dyDescent="0.25">
      <c r="A24" s="1"/>
      <c r="B24" s="1"/>
      <c r="C24" s="1"/>
      <c r="D24" s="1"/>
      <c r="E24" s="1"/>
      <c r="F24" s="1"/>
      <c r="G24" s="1"/>
      <c r="H24" s="6"/>
      <c r="I24" s="1"/>
      <c r="J24" s="1"/>
      <c r="K24" s="194">
        <f t="shared" ref="K24:X24" si="8">SUM(K3:K23)</f>
        <v>990000</v>
      </c>
      <c r="L24" s="194">
        <f t="shared" si="8"/>
        <v>1235474.1000000001</v>
      </c>
      <c r="M24" s="194">
        <f t="shared" si="8"/>
        <v>2225474.1</v>
      </c>
      <c r="N24" s="194">
        <f t="shared" si="8"/>
        <v>3431174.2</v>
      </c>
      <c r="O24" s="194">
        <f t="shared" si="8"/>
        <v>5656648.2999999998</v>
      </c>
      <c r="P24" s="194">
        <f t="shared" si="8"/>
        <v>16706448</v>
      </c>
      <c r="Q24" s="194">
        <f t="shared" si="8"/>
        <v>15275065</v>
      </c>
      <c r="R24" s="194">
        <f t="shared" si="8"/>
        <v>31981513</v>
      </c>
      <c r="S24" s="194">
        <f t="shared" si="8"/>
        <v>6198600</v>
      </c>
      <c r="T24" s="194">
        <f t="shared" si="8"/>
        <v>38180113</v>
      </c>
      <c r="U24" s="194">
        <f t="shared" si="8"/>
        <v>17171313</v>
      </c>
      <c r="V24" s="194">
        <f t="shared" si="8"/>
        <v>15909400</v>
      </c>
      <c r="W24" s="194">
        <f t="shared" si="8"/>
        <v>33080713</v>
      </c>
      <c r="X24" s="194">
        <f t="shared" si="8"/>
        <v>5099400</v>
      </c>
      <c r="Y24" s="194">
        <f t="shared" ref="Y24" si="9">SUM(Y3:Y23)</f>
        <v>38180113</v>
      </c>
      <c r="Z24" s="195"/>
      <c r="AA24" s="195" t="s">
        <v>182</v>
      </c>
      <c r="AB24" s="195" t="s">
        <v>115</v>
      </c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"/>
      <c r="AN24" s="1"/>
      <c r="AO24" s="1"/>
      <c r="AP24" s="1"/>
      <c r="AQ24" s="59"/>
    </row>
    <row r="25" spans="1:43" ht="14.25" customHeight="1" x14ac:dyDescent="0.25">
      <c r="A25" s="1"/>
      <c r="B25" s="1"/>
      <c r="C25" s="1"/>
      <c r="D25" s="1"/>
      <c r="E25" s="1"/>
      <c r="F25" s="1"/>
      <c r="G25" s="1"/>
      <c r="H25" s="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59"/>
    </row>
    <row r="26" spans="1:43" ht="14.25" customHeight="1" x14ac:dyDescent="0.25">
      <c r="A26" s="1"/>
      <c r="B26" s="1"/>
      <c r="C26" s="1"/>
      <c r="D26" s="1"/>
      <c r="E26" s="1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59"/>
    </row>
    <row r="27" spans="1:43" ht="14.25" customHeight="1" x14ac:dyDescent="0.25">
      <c r="A27" s="1"/>
      <c r="B27" s="1"/>
      <c r="C27" s="1"/>
      <c r="D27" s="1"/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ht="14.25" customHeight="1" x14ac:dyDescent="0.25">
      <c r="A28" s="1"/>
      <c r="B28" s="1"/>
      <c r="C28" s="1"/>
      <c r="D28" s="1"/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ht="14.25" customHeight="1" x14ac:dyDescent="0.25">
      <c r="A29" s="1"/>
      <c r="B29" s="1"/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ht="14.25" hidden="1" customHeight="1" x14ac:dyDescent="0.25">
      <c r="A30" s="1"/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ht="14.25" hidden="1" customHeight="1" x14ac:dyDescent="0.25">
      <c r="A31" s="1"/>
      <c r="B31" s="55">
        <v>1</v>
      </c>
      <c r="C31" s="55">
        <v>2</v>
      </c>
      <c r="D31" s="55">
        <v>3</v>
      </c>
      <c r="E31" s="55">
        <v>4</v>
      </c>
      <c r="F31" s="55">
        <v>5</v>
      </c>
      <c r="G31" s="55">
        <v>6</v>
      </c>
      <c r="H31" s="55">
        <v>7</v>
      </c>
      <c r="I31" s="55">
        <v>8</v>
      </c>
      <c r="Q31" s="55">
        <v>12</v>
      </c>
      <c r="R31" s="55">
        <v>13</v>
      </c>
      <c r="S31" s="55">
        <v>14</v>
      </c>
      <c r="T31" s="55">
        <v>15</v>
      </c>
      <c r="U31" s="55">
        <v>16</v>
      </c>
      <c r="V31" s="55">
        <v>17</v>
      </c>
      <c r="W31" s="55">
        <v>18</v>
      </c>
      <c r="X31" s="55">
        <v>19</v>
      </c>
      <c r="Y31" s="55">
        <v>20</v>
      </c>
      <c r="Z31" s="55">
        <v>24</v>
      </c>
      <c r="AA31" s="55">
        <v>25</v>
      </c>
      <c r="AC31" s="55">
        <v>26</v>
      </c>
      <c r="AD31" s="55">
        <v>27</v>
      </c>
      <c r="AE31" s="55">
        <v>28</v>
      </c>
      <c r="AF31" s="55">
        <v>29</v>
      </c>
      <c r="AG31" s="55">
        <v>30</v>
      </c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ht="14.25" hidden="1" customHeight="1" x14ac:dyDescent="0.25">
      <c r="A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ht="14.25" hidden="1" customHeight="1" x14ac:dyDescent="0.25">
      <c r="A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14.25" hidden="1" customHeight="1" x14ac:dyDescent="0.25">
      <c r="A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14.25" hidden="1" customHeight="1" x14ac:dyDescent="0.25">
      <c r="A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7" spans="1:43" ht="14.25" customHeight="1" x14ac:dyDescent="0.25">
      <c r="A37" s="1">
        <v>2024</v>
      </c>
      <c r="B37" s="1" t="s">
        <v>335</v>
      </c>
      <c r="C37" s="1" t="s">
        <v>334</v>
      </c>
      <c r="D37" s="1">
        <v>2024</v>
      </c>
    </row>
    <row r="38" spans="1:43" ht="14.25" customHeight="1" x14ac:dyDescent="0.25">
      <c r="A38" s="1">
        <v>2025</v>
      </c>
      <c r="B38" s="1" t="s">
        <v>336</v>
      </c>
      <c r="C38" s="1" t="s">
        <v>333</v>
      </c>
      <c r="D38" s="1">
        <v>2025</v>
      </c>
    </row>
    <row r="40" spans="1:43" ht="14.25" customHeight="1" x14ac:dyDescent="0.2">
      <c r="AA40" s="61"/>
      <c r="AB40" s="84"/>
    </row>
  </sheetData>
  <sheetProtection algorithmName="SHA-512" hashValue="kyNxe8G4ijZ6d5yGK0ACUdC0nhjA4Z7zKJqb+JrujUqgRN6GQ57iV3br4D7pJIJhxPGL8HuCPa06Ar9R8HLkBQ==" saltValue="67Wi+4/lkZ5UH/KKF+f33Q==" spinCount="100000" sheet="1" selectLockedCells="1" selectUnlockedCells="1"/>
  <conditionalFormatting sqref="F3:F23">
    <cfRule type="containsText" dxfId="22" priority="1" operator="containsText" text="GC">
      <formula>NOT(ISERROR(SEARCH("GC",F3)))</formula>
    </cfRule>
    <cfRule type="containsText" dxfId="21" priority="2" operator="containsText" text="KaM">
      <formula>NOT(ISERROR(SEARCH("KaM",F3)))</formula>
    </cfRule>
    <cfRule type="containsText" dxfId="20" priority="3" operator="containsText" text="ZF">
      <formula>NOT(ISERROR(SEARCH("ZF",F3)))</formula>
    </cfRule>
    <cfRule type="containsText" dxfId="19" priority="4" operator="containsText" text="ZSF">
      <formula>NOT(ISERROR(SEARCH("ZSF",F3)))</formula>
    </cfRule>
    <cfRule type="containsText" dxfId="18" priority="5" operator="containsText" text="TF">
      <formula>NOT(ISERROR(SEARCH("TF",F3)))</formula>
    </cfRule>
    <cfRule type="containsText" dxfId="17" priority="6" operator="containsText" text="FROV">
      <formula>NOT(ISERROR(SEARCH("FROV",F3)))</formula>
    </cfRule>
    <cfRule type="containsText" dxfId="16" priority="7" operator="containsText" text="PřF">
      <formula>NOT(ISERROR(SEARCH("PřF",F3)))</formula>
    </cfRule>
    <cfRule type="containsText" dxfId="15" priority="8" operator="containsText" text="PF">
      <formula>NOT(ISERROR(SEARCH("PF",F3)))</formula>
    </cfRule>
    <cfRule type="containsText" dxfId="14" priority="9" operator="containsText" text="FF">
      <formula>NOT(ISERROR(SEARCH("FF",F3)))</formula>
    </cfRule>
    <cfRule type="containsText" dxfId="13" priority="10" operator="containsText" text="EF">
      <formula>NOT(ISERROR(SEARCH("EF",F3)))</formula>
    </cfRule>
    <cfRule type="containsText" dxfId="12" priority="11" operator="containsText" text="REK">
      <formula>NOT(ISERROR(SEARCH("REK",F3)))</formula>
    </cfRule>
  </conditionalFormatting>
  <hyperlinks>
    <hyperlink ref="I4" r:id="rId1" xr:uid="{B7087887-5AAE-4F36-80AA-74473F67D089}"/>
    <hyperlink ref="I18" r:id="rId2" display="lcerna@jcu.cz" xr:uid="{4A522D34-5436-4CFF-9237-BB3403C416CB}"/>
    <hyperlink ref="I19" r:id="rId3" display="lcerna@jcu.cz" xr:uid="{759A81F8-A779-409B-980C-7D2A889EC83D}"/>
    <hyperlink ref="I21" r:id="rId4" display="mailto:bsindel@zsf.jcu.cz" xr:uid="{ECD16F42-68E4-4D64-B91D-C550ED961179}"/>
    <hyperlink ref="I11" r:id="rId5" xr:uid="{54FD5064-B22A-49E6-9CD5-EACF4973A79C}"/>
  </hyperlinks>
  <pageMargins left="0.7" right="0.7" top="0.78740157499999996" bottom="0.78740157499999996" header="0.3" footer="0.3"/>
  <pageSetup paperSize="9" scale="23" orientation="landscape"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8BA18-FC59-4127-AA25-923795682A20}">
  <sheetPr>
    <tabColor rgb="FF92D050"/>
  </sheetPr>
  <dimension ref="A1:U39"/>
  <sheetViews>
    <sheetView view="pageBreakPreview" zoomScaleNormal="100" zoomScaleSheetLayoutView="10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K12" sqref="K12"/>
    </sheetView>
  </sheetViews>
  <sheetFormatPr defaultColWidth="6.7109375" defaultRowHeight="14.25" customHeight="1" x14ac:dyDescent="0.2"/>
  <cols>
    <col min="1" max="1" width="6.7109375" style="55" customWidth="1"/>
    <col min="2" max="2" width="5" style="55" customWidth="1"/>
    <col min="3" max="3" width="9.42578125" style="55" customWidth="1"/>
    <col min="4" max="4" width="9.28515625" style="55" customWidth="1"/>
    <col min="5" max="5" width="8.85546875" style="55" customWidth="1"/>
    <col min="6" max="6" width="9.28515625" style="55" customWidth="1"/>
    <col min="7" max="7" width="29.28515625" style="55" customWidth="1"/>
    <col min="8" max="8" width="32.140625" style="55" customWidth="1"/>
    <col min="9" max="9" width="13.7109375" style="55" customWidth="1"/>
    <col min="10" max="10" width="15.42578125" style="55" customWidth="1"/>
    <col min="11" max="11" width="13.28515625" style="55" customWidth="1"/>
    <col min="12" max="12" width="14" style="55" customWidth="1"/>
    <col min="13" max="13" width="13" style="55" customWidth="1"/>
    <col min="14" max="14" width="19.28515625" style="55" customWidth="1"/>
    <col min="15" max="15" width="13.85546875" style="55" customWidth="1"/>
    <col min="16" max="16" width="14.140625" style="55" customWidth="1"/>
    <col min="17" max="17" width="12.85546875" style="55" customWidth="1"/>
    <col min="18" max="18" width="11.85546875" style="55" customWidth="1"/>
    <col min="19" max="19" width="6.7109375" style="55" customWidth="1"/>
    <col min="20" max="24" width="6.7109375" style="55"/>
    <col min="25" max="25" width="7" style="55" bestFit="1" customWidth="1"/>
    <col min="26" max="16384" width="6.7109375" style="55"/>
  </cols>
  <sheetData>
    <row r="1" spans="1:21" ht="14.25" customHeight="1" x14ac:dyDescent="0.2">
      <c r="B1" s="83">
        <v>1</v>
      </c>
      <c r="C1" s="113">
        <v>2</v>
      </c>
      <c r="D1" s="113">
        <v>3</v>
      </c>
      <c r="E1" s="11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55">
        <v>18</v>
      </c>
      <c r="T1" s="55">
        <v>19</v>
      </c>
      <c r="U1" s="55">
        <v>20</v>
      </c>
    </row>
    <row r="2" spans="1:21" ht="39" customHeight="1" x14ac:dyDescent="0.25">
      <c r="A2" s="1"/>
      <c r="B2" s="151" t="s">
        <v>95</v>
      </c>
      <c r="C2" s="151" t="s">
        <v>366</v>
      </c>
      <c r="D2" s="151" t="s">
        <v>146</v>
      </c>
      <c r="E2" s="151" t="s">
        <v>367</v>
      </c>
      <c r="F2" s="151" t="s">
        <v>96</v>
      </c>
      <c r="G2" s="152" t="s">
        <v>97</v>
      </c>
      <c r="H2" s="152" t="s">
        <v>94</v>
      </c>
      <c r="I2" s="153" t="s">
        <v>46</v>
      </c>
      <c r="J2" s="238" t="s">
        <v>529</v>
      </c>
      <c r="K2" s="238" t="s">
        <v>530</v>
      </c>
      <c r="L2" s="238" t="s">
        <v>531</v>
      </c>
      <c r="M2" s="238" t="s">
        <v>532</v>
      </c>
      <c r="N2" s="238" t="s">
        <v>533</v>
      </c>
      <c r="O2" s="238" t="s">
        <v>534</v>
      </c>
      <c r="P2" s="239" t="s">
        <v>535</v>
      </c>
      <c r="Q2" s="239" t="s">
        <v>536</v>
      </c>
      <c r="R2" s="239" t="s">
        <v>537</v>
      </c>
      <c r="S2" s="217" t="s">
        <v>538</v>
      </c>
    </row>
    <row r="3" spans="1:21" ht="27" x14ac:dyDescent="0.25">
      <c r="A3" s="1"/>
      <c r="B3" s="175">
        <v>7</v>
      </c>
      <c r="C3" s="175" t="s">
        <v>379</v>
      </c>
      <c r="D3" s="175" t="s">
        <v>156</v>
      </c>
      <c r="E3" s="155" t="s">
        <v>149</v>
      </c>
      <c r="F3" s="169" t="s">
        <v>98</v>
      </c>
      <c r="G3" s="156" t="s">
        <v>163</v>
      </c>
      <c r="H3" s="156" t="s">
        <v>104</v>
      </c>
      <c r="I3" s="170" t="s">
        <v>59</v>
      </c>
      <c r="J3" s="196">
        <v>-51888</v>
      </c>
      <c r="K3" s="196">
        <v>51888</v>
      </c>
      <c r="L3" s="196">
        <v>0</v>
      </c>
      <c r="M3" s="177">
        <v>0</v>
      </c>
      <c r="N3" s="196">
        <v>32112</v>
      </c>
      <c r="O3" s="177">
        <v>2346646.4700000002</v>
      </c>
      <c r="P3" s="246">
        <v>0</v>
      </c>
      <c r="Q3" s="246">
        <v>0</v>
      </c>
      <c r="R3" s="246">
        <v>0</v>
      </c>
      <c r="S3" s="246">
        <v>0</v>
      </c>
      <c r="T3" s="246">
        <v>0</v>
      </c>
      <c r="U3" s="246">
        <v>0</v>
      </c>
    </row>
    <row r="4" spans="1:21" ht="13.5" x14ac:dyDescent="0.25">
      <c r="A4" s="1"/>
      <c r="B4" s="175">
        <v>8</v>
      </c>
      <c r="C4" s="175" t="s">
        <v>381</v>
      </c>
      <c r="D4" s="155" t="s">
        <v>382</v>
      </c>
      <c r="E4" s="155" t="s">
        <v>383</v>
      </c>
      <c r="F4" s="169" t="s">
        <v>98</v>
      </c>
      <c r="G4" s="156" t="s">
        <v>164</v>
      </c>
      <c r="H4" s="156" t="s">
        <v>384</v>
      </c>
      <c r="I4" s="170" t="s">
        <v>385</v>
      </c>
      <c r="J4" s="196">
        <v>-400573</v>
      </c>
      <c r="K4" s="177">
        <v>400573</v>
      </c>
      <c r="L4" s="177">
        <v>0</v>
      </c>
      <c r="M4" s="177"/>
      <c r="N4" s="177">
        <v>1515827</v>
      </c>
      <c r="O4" s="177">
        <v>1605573</v>
      </c>
      <c r="P4" s="246">
        <v>0</v>
      </c>
      <c r="Q4" s="246">
        <v>499173</v>
      </c>
      <c r="R4" s="246">
        <v>763247.05</v>
      </c>
      <c r="S4" s="246">
        <v>0</v>
      </c>
      <c r="T4" s="246">
        <v>0</v>
      </c>
      <c r="U4" s="246">
        <v>0</v>
      </c>
    </row>
    <row r="5" spans="1:21" ht="40.5" x14ac:dyDescent="0.25">
      <c r="A5" s="1"/>
      <c r="B5" s="175">
        <v>9</v>
      </c>
      <c r="C5" s="175">
        <v>5</v>
      </c>
      <c r="D5" s="175" t="s">
        <v>155</v>
      </c>
      <c r="E5" s="155" t="s">
        <v>148</v>
      </c>
      <c r="F5" s="169" t="s">
        <v>98</v>
      </c>
      <c r="G5" s="156" t="s">
        <v>165</v>
      </c>
      <c r="H5" s="156" t="s">
        <v>166</v>
      </c>
      <c r="I5" s="170" t="s">
        <v>167</v>
      </c>
      <c r="J5" s="196">
        <v>-2337.29</v>
      </c>
      <c r="K5" s="196">
        <v>2337.29</v>
      </c>
      <c r="L5" s="196">
        <v>0</v>
      </c>
      <c r="M5" s="177">
        <v>104886.99</v>
      </c>
      <c r="N5" s="196">
        <v>146329</v>
      </c>
      <c r="O5" s="177">
        <v>33402.29</v>
      </c>
      <c r="P5" s="246">
        <v>208633.28</v>
      </c>
      <c r="Q5" s="246">
        <v>0</v>
      </c>
      <c r="R5" s="246">
        <v>12642.36</v>
      </c>
      <c r="S5" s="246">
        <v>0</v>
      </c>
      <c r="T5" s="246">
        <v>0</v>
      </c>
      <c r="U5" s="246">
        <v>0</v>
      </c>
    </row>
    <row r="6" spans="1:21" s="192" customFormat="1" ht="54" x14ac:dyDescent="0.25">
      <c r="A6" s="179"/>
      <c r="B6" s="180">
        <v>10</v>
      </c>
      <c r="C6" s="180">
        <v>5</v>
      </c>
      <c r="D6" s="180" t="s">
        <v>155</v>
      </c>
      <c r="E6" s="181" t="s">
        <v>150</v>
      </c>
      <c r="F6" s="182" t="s">
        <v>98</v>
      </c>
      <c r="G6" s="183" t="s">
        <v>420</v>
      </c>
      <c r="H6" s="183" t="s">
        <v>427</v>
      </c>
      <c r="I6" s="184" t="s">
        <v>328</v>
      </c>
      <c r="J6" s="197">
        <v>0</v>
      </c>
      <c r="K6" s="197">
        <v>0</v>
      </c>
      <c r="L6" s="197">
        <v>0</v>
      </c>
      <c r="M6" s="177"/>
      <c r="N6" s="197"/>
      <c r="O6" s="177"/>
      <c r="P6" s="247">
        <v>399500</v>
      </c>
      <c r="Q6" s="247">
        <v>0</v>
      </c>
      <c r="R6" s="247">
        <v>0</v>
      </c>
      <c r="S6" s="246">
        <v>0</v>
      </c>
      <c r="T6" s="246">
        <v>0</v>
      </c>
      <c r="U6" s="246">
        <v>0</v>
      </c>
    </row>
    <row r="7" spans="1:21" ht="27" x14ac:dyDescent="0.25">
      <c r="A7" s="1"/>
      <c r="B7" s="175">
        <v>13</v>
      </c>
      <c r="C7" s="175">
        <v>1</v>
      </c>
      <c r="D7" s="175" t="s">
        <v>157</v>
      </c>
      <c r="E7" s="155" t="s">
        <v>99</v>
      </c>
      <c r="F7" s="169" t="s">
        <v>41</v>
      </c>
      <c r="G7" s="156" t="s">
        <v>386</v>
      </c>
      <c r="H7" s="156" t="s">
        <v>105</v>
      </c>
      <c r="I7" s="170" t="s">
        <v>106</v>
      </c>
      <c r="J7" s="196">
        <v>0</v>
      </c>
      <c r="K7" s="196">
        <v>0</v>
      </c>
      <c r="L7" s="196">
        <v>0</v>
      </c>
      <c r="M7" s="177">
        <v>1000000</v>
      </c>
      <c r="N7" s="196"/>
      <c r="O7" s="177"/>
      <c r="P7" s="246">
        <v>0</v>
      </c>
      <c r="Q7" s="246">
        <v>0</v>
      </c>
      <c r="R7" s="246">
        <f t="shared" ref="R7:R24" si="0">P7+Q7</f>
        <v>0</v>
      </c>
      <c r="S7" s="246">
        <v>0</v>
      </c>
      <c r="T7" s="246">
        <v>0</v>
      </c>
      <c r="U7" s="246">
        <v>0</v>
      </c>
    </row>
    <row r="8" spans="1:21" ht="54" x14ac:dyDescent="0.25">
      <c r="A8" s="1"/>
      <c r="B8" s="175">
        <v>14</v>
      </c>
      <c r="C8" s="175">
        <v>1</v>
      </c>
      <c r="D8" s="175" t="s">
        <v>157</v>
      </c>
      <c r="E8" s="155" t="s">
        <v>99</v>
      </c>
      <c r="F8" s="169" t="s">
        <v>40</v>
      </c>
      <c r="G8" s="156" t="s">
        <v>168</v>
      </c>
      <c r="H8" s="156" t="s">
        <v>169</v>
      </c>
      <c r="I8" s="170" t="s">
        <v>170</v>
      </c>
      <c r="J8" s="196">
        <v>0</v>
      </c>
      <c r="K8" s="196">
        <v>0</v>
      </c>
      <c r="L8" s="196">
        <v>0</v>
      </c>
      <c r="M8" s="177"/>
      <c r="N8" s="196"/>
      <c r="O8" s="177">
        <v>250000</v>
      </c>
      <c r="P8" s="246">
        <v>0</v>
      </c>
      <c r="Q8" s="246">
        <v>0</v>
      </c>
      <c r="R8" s="246">
        <v>0</v>
      </c>
      <c r="S8" s="246">
        <v>0</v>
      </c>
      <c r="T8" s="246">
        <v>0</v>
      </c>
      <c r="U8" s="246">
        <v>0</v>
      </c>
    </row>
    <row r="9" spans="1:21" ht="27" x14ac:dyDescent="0.25">
      <c r="A9" s="1"/>
      <c r="B9" s="175">
        <v>19</v>
      </c>
      <c r="C9" s="175">
        <v>5</v>
      </c>
      <c r="D9" s="175" t="s">
        <v>155</v>
      </c>
      <c r="E9" s="155" t="s">
        <v>148</v>
      </c>
      <c r="F9" s="169" t="s">
        <v>98</v>
      </c>
      <c r="G9" s="156" t="s">
        <v>387</v>
      </c>
      <c r="H9" s="156" t="s">
        <v>171</v>
      </c>
      <c r="I9" s="170" t="s">
        <v>172</v>
      </c>
      <c r="J9" s="196">
        <v>2678</v>
      </c>
      <c r="K9" s="196">
        <v>-2678</v>
      </c>
      <c r="L9" s="196">
        <v>0</v>
      </c>
      <c r="M9" s="177"/>
      <c r="N9" s="196">
        <v>426678</v>
      </c>
      <c r="O9" s="177">
        <v>81231.63</v>
      </c>
      <c r="P9" s="246">
        <v>0</v>
      </c>
      <c r="Q9" s="246">
        <v>0</v>
      </c>
      <c r="R9" s="246">
        <v>0</v>
      </c>
      <c r="S9" s="246">
        <v>0</v>
      </c>
      <c r="T9" s="246">
        <v>0</v>
      </c>
      <c r="U9" s="246">
        <v>0</v>
      </c>
    </row>
    <row r="10" spans="1:21" s="192" customFormat="1" ht="40.5" x14ac:dyDescent="0.25">
      <c r="A10" s="179"/>
      <c r="B10" s="180">
        <v>21</v>
      </c>
      <c r="C10" s="180">
        <v>5</v>
      </c>
      <c r="D10" s="180" t="s">
        <v>155</v>
      </c>
      <c r="E10" s="181" t="s">
        <v>150</v>
      </c>
      <c r="F10" s="182" t="s">
        <v>101</v>
      </c>
      <c r="G10" s="183" t="s">
        <v>173</v>
      </c>
      <c r="H10" s="183" t="s">
        <v>488</v>
      </c>
      <c r="I10" s="193" t="s">
        <v>489</v>
      </c>
      <c r="J10" s="197">
        <v>0</v>
      </c>
      <c r="K10" s="197">
        <v>0</v>
      </c>
      <c r="L10" s="197">
        <v>0</v>
      </c>
      <c r="M10" s="177"/>
      <c r="N10" s="197"/>
      <c r="O10" s="177"/>
      <c r="P10" s="247">
        <v>19993</v>
      </c>
      <c r="Q10" s="247">
        <v>0</v>
      </c>
      <c r="R10" s="247">
        <v>0</v>
      </c>
      <c r="S10" s="246">
        <v>0</v>
      </c>
      <c r="T10" s="246">
        <v>0</v>
      </c>
      <c r="U10" s="246">
        <v>0</v>
      </c>
    </row>
    <row r="11" spans="1:21" ht="27" x14ac:dyDescent="0.25">
      <c r="A11" s="1"/>
      <c r="B11" s="175">
        <v>23</v>
      </c>
      <c r="C11" s="175" t="s">
        <v>379</v>
      </c>
      <c r="D11" s="175" t="s">
        <v>158</v>
      </c>
      <c r="E11" s="155" t="s">
        <v>151</v>
      </c>
      <c r="F11" s="169" t="s">
        <v>98</v>
      </c>
      <c r="G11" s="156" t="s">
        <v>174</v>
      </c>
      <c r="H11" s="156" t="s">
        <v>102</v>
      </c>
      <c r="I11" s="170" t="s">
        <v>388</v>
      </c>
      <c r="J11" s="196">
        <v>2531</v>
      </c>
      <c r="K11" s="196">
        <v>-2531</v>
      </c>
      <c r="L11" s="196">
        <v>0</v>
      </c>
      <c r="M11" s="177"/>
      <c r="N11" s="196">
        <v>247469</v>
      </c>
      <c r="O11" s="177">
        <v>392091.6</v>
      </c>
      <c r="P11" s="246">
        <v>0</v>
      </c>
      <c r="Q11" s="246">
        <v>142354</v>
      </c>
      <c r="R11" s="246">
        <v>1320</v>
      </c>
      <c r="S11" s="241">
        <v>-1320</v>
      </c>
      <c r="T11" s="241">
        <v>1320</v>
      </c>
      <c r="U11" s="246">
        <v>0</v>
      </c>
    </row>
    <row r="12" spans="1:21" ht="27" x14ac:dyDescent="0.25">
      <c r="A12" s="1"/>
      <c r="B12" s="175">
        <v>24</v>
      </c>
      <c r="C12" s="175" t="s">
        <v>153</v>
      </c>
      <c r="D12" s="175" t="s">
        <v>159</v>
      </c>
      <c r="E12" s="155" t="s">
        <v>329</v>
      </c>
      <c r="F12" s="169" t="s">
        <v>98</v>
      </c>
      <c r="G12" s="156" t="s">
        <v>175</v>
      </c>
      <c r="H12" s="156" t="s">
        <v>102</v>
      </c>
      <c r="I12" s="170" t="s">
        <v>388</v>
      </c>
      <c r="J12" s="240">
        <v>866</v>
      </c>
      <c r="K12" s="240">
        <v>-866</v>
      </c>
      <c r="L12" s="240">
        <v>0</v>
      </c>
      <c r="M12" s="177"/>
      <c r="N12" s="196">
        <v>410366</v>
      </c>
      <c r="O12" s="177">
        <v>2545231.7200000002</v>
      </c>
      <c r="P12" s="246">
        <v>0</v>
      </c>
      <c r="Q12" s="246">
        <v>47098</v>
      </c>
      <c r="R12" s="246">
        <v>0</v>
      </c>
      <c r="S12" s="246">
        <v>0</v>
      </c>
      <c r="T12" s="246">
        <v>0</v>
      </c>
      <c r="U12" s="246">
        <v>0</v>
      </c>
    </row>
    <row r="13" spans="1:21" ht="27" x14ac:dyDescent="0.25">
      <c r="A13" s="1"/>
      <c r="B13" s="175">
        <v>25</v>
      </c>
      <c r="C13" s="175">
        <v>6</v>
      </c>
      <c r="D13" s="175" t="s">
        <v>160</v>
      </c>
      <c r="E13" s="155" t="s">
        <v>389</v>
      </c>
      <c r="F13" s="169" t="s">
        <v>98</v>
      </c>
      <c r="G13" s="156" t="s">
        <v>176</v>
      </c>
      <c r="H13" s="156" t="s">
        <v>177</v>
      </c>
      <c r="I13" s="170" t="s">
        <v>178</v>
      </c>
      <c r="J13" s="196">
        <v>0</v>
      </c>
      <c r="K13" s="196">
        <v>0</v>
      </c>
      <c r="L13" s="196">
        <v>0</v>
      </c>
      <c r="M13" s="177">
        <v>775283.15</v>
      </c>
      <c r="N13" s="196">
        <v>812859</v>
      </c>
      <c r="O13" s="177">
        <v>111626.09</v>
      </c>
      <c r="P13" s="246">
        <v>0</v>
      </c>
      <c r="Q13" s="246">
        <v>0</v>
      </c>
      <c r="R13" s="246">
        <v>0</v>
      </c>
      <c r="S13" s="246">
        <v>0</v>
      </c>
      <c r="T13" s="246">
        <v>0</v>
      </c>
      <c r="U13" s="246">
        <v>0</v>
      </c>
    </row>
    <row r="14" spans="1:21" ht="13.5" x14ac:dyDescent="0.25">
      <c r="A14" s="1"/>
      <c r="B14" s="175">
        <v>26</v>
      </c>
      <c r="C14" s="175">
        <v>6</v>
      </c>
      <c r="D14" s="175" t="s">
        <v>160</v>
      </c>
      <c r="E14" s="155" t="s">
        <v>390</v>
      </c>
      <c r="F14" s="169" t="s">
        <v>98</v>
      </c>
      <c r="G14" s="156" t="s">
        <v>179</v>
      </c>
      <c r="H14" s="156" t="s">
        <v>39</v>
      </c>
      <c r="I14" s="170" t="s">
        <v>54</v>
      </c>
      <c r="J14" s="240">
        <v>-41851</v>
      </c>
      <c r="K14" s="240">
        <v>41851</v>
      </c>
      <c r="L14" s="240">
        <v>0</v>
      </c>
      <c r="M14" s="177">
        <v>673612.94</v>
      </c>
      <c r="N14" s="196">
        <v>1935849</v>
      </c>
      <c r="O14" s="177">
        <v>1872440.38</v>
      </c>
      <c r="P14" s="246">
        <v>574633.46</v>
      </c>
      <c r="Q14" s="246">
        <v>0</v>
      </c>
      <c r="R14" s="246">
        <v>0</v>
      </c>
      <c r="S14" s="246">
        <v>0</v>
      </c>
      <c r="T14" s="246">
        <v>0</v>
      </c>
      <c r="U14" s="246">
        <v>0</v>
      </c>
    </row>
    <row r="15" spans="1:21" s="123" customFormat="1" ht="27" x14ac:dyDescent="0.25">
      <c r="A15" s="122"/>
      <c r="B15" s="175">
        <v>27</v>
      </c>
      <c r="C15" s="175">
        <v>2</v>
      </c>
      <c r="D15" s="175" t="s">
        <v>391</v>
      </c>
      <c r="E15" s="155" t="s">
        <v>392</v>
      </c>
      <c r="F15" s="169" t="s">
        <v>98</v>
      </c>
      <c r="G15" s="156" t="s">
        <v>393</v>
      </c>
      <c r="H15" s="156" t="s">
        <v>394</v>
      </c>
      <c r="I15" s="170" t="s">
        <v>53</v>
      </c>
      <c r="J15" s="196">
        <v>0</v>
      </c>
      <c r="K15" s="196">
        <v>0</v>
      </c>
      <c r="L15" s="196">
        <v>0</v>
      </c>
      <c r="M15" s="177">
        <v>0</v>
      </c>
      <c r="N15" s="196">
        <v>6281576</v>
      </c>
      <c r="O15" s="177">
        <v>1839171.8</v>
      </c>
      <c r="P15" s="246">
        <v>0</v>
      </c>
      <c r="Q15" s="246">
        <v>0</v>
      </c>
      <c r="R15" s="246">
        <v>0</v>
      </c>
      <c r="S15" s="246">
        <v>0</v>
      </c>
      <c r="T15" s="246">
        <v>0</v>
      </c>
      <c r="U15" s="246">
        <v>0</v>
      </c>
    </row>
    <row r="16" spans="1:21" ht="27" x14ac:dyDescent="0.25">
      <c r="A16" s="1"/>
      <c r="B16" s="175">
        <v>28</v>
      </c>
      <c r="C16" s="175">
        <v>5</v>
      </c>
      <c r="D16" s="175" t="s">
        <v>155</v>
      </c>
      <c r="E16" s="155" t="s">
        <v>152</v>
      </c>
      <c r="F16" s="169" t="s">
        <v>98</v>
      </c>
      <c r="G16" s="156" t="s">
        <v>395</v>
      </c>
      <c r="H16" s="156" t="s">
        <v>180</v>
      </c>
      <c r="I16" s="170" t="s">
        <v>181</v>
      </c>
      <c r="J16" s="240">
        <v>-6231</v>
      </c>
      <c r="K16" s="240">
        <v>21695</v>
      </c>
      <c r="L16" s="240">
        <v>-15464</v>
      </c>
      <c r="M16" s="177">
        <v>84536</v>
      </c>
      <c r="N16" s="196">
        <v>623769</v>
      </c>
      <c r="O16" s="177">
        <v>421018.35</v>
      </c>
      <c r="P16" s="246">
        <v>0</v>
      </c>
      <c r="Q16" s="246">
        <v>0</v>
      </c>
      <c r="R16" s="246">
        <v>0</v>
      </c>
      <c r="S16" s="246">
        <v>0</v>
      </c>
      <c r="T16" s="246">
        <v>0</v>
      </c>
      <c r="U16" s="246">
        <v>0</v>
      </c>
    </row>
    <row r="17" spans="1:21" ht="13.5" x14ac:dyDescent="0.25">
      <c r="A17" s="1"/>
      <c r="B17" s="175">
        <v>29</v>
      </c>
      <c r="C17" s="175">
        <v>1</v>
      </c>
      <c r="D17" s="155" t="s">
        <v>161</v>
      </c>
      <c r="E17" s="155" t="s">
        <v>396</v>
      </c>
      <c r="F17" s="173" t="s">
        <v>98</v>
      </c>
      <c r="G17" s="156" t="s">
        <v>397</v>
      </c>
      <c r="H17" s="156" t="s">
        <v>398</v>
      </c>
      <c r="I17" s="170" t="s">
        <v>100</v>
      </c>
      <c r="J17" s="196">
        <v>0</v>
      </c>
      <c r="K17" s="196">
        <v>0</v>
      </c>
      <c r="L17" s="196">
        <v>0</v>
      </c>
      <c r="M17" s="177"/>
      <c r="N17" s="196">
        <v>1805767</v>
      </c>
      <c r="O17" s="177">
        <v>73568.240000000005</v>
      </c>
      <c r="P17" s="246">
        <v>0</v>
      </c>
      <c r="Q17" s="246">
        <v>0</v>
      </c>
      <c r="R17" s="246">
        <v>5884.34</v>
      </c>
      <c r="S17" s="246">
        <v>0</v>
      </c>
      <c r="T17" s="246">
        <v>0</v>
      </c>
      <c r="U17" s="246">
        <v>0</v>
      </c>
    </row>
    <row r="18" spans="1:21" ht="13.5" x14ac:dyDescent="0.25">
      <c r="A18" s="1"/>
      <c r="B18" s="175">
        <v>34</v>
      </c>
      <c r="C18" s="175">
        <v>3</v>
      </c>
      <c r="D18" s="175" t="s">
        <v>154</v>
      </c>
      <c r="E18" s="155" t="s">
        <v>147</v>
      </c>
      <c r="F18" s="173" t="s">
        <v>98</v>
      </c>
      <c r="G18" s="174" t="s">
        <v>399</v>
      </c>
      <c r="H18" s="174" t="s">
        <v>400</v>
      </c>
      <c r="I18" s="170" t="s">
        <v>162</v>
      </c>
      <c r="J18" s="196">
        <v>0</v>
      </c>
      <c r="K18" s="196">
        <v>0</v>
      </c>
      <c r="L18" s="196">
        <v>0</v>
      </c>
      <c r="M18" s="177">
        <v>0</v>
      </c>
      <c r="N18" s="196">
        <v>100000</v>
      </c>
      <c r="O18" s="177">
        <v>71938</v>
      </c>
      <c r="P18" s="246">
        <v>0</v>
      </c>
      <c r="Q18" s="246">
        <v>0</v>
      </c>
      <c r="R18" s="246">
        <v>0</v>
      </c>
      <c r="S18" s="246">
        <v>0</v>
      </c>
      <c r="T18" s="246">
        <v>0</v>
      </c>
      <c r="U18" s="246">
        <v>0</v>
      </c>
    </row>
    <row r="19" spans="1:21" ht="54" x14ac:dyDescent="0.25">
      <c r="A19" s="1"/>
      <c r="B19" s="175">
        <v>35</v>
      </c>
      <c r="C19" s="175">
        <v>5</v>
      </c>
      <c r="D19" s="175" t="s">
        <v>155</v>
      </c>
      <c r="E19" s="155" t="s">
        <v>148</v>
      </c>
      <c r="F19" s="173" t="s">
        <v>98</v>
      </c>
      <c r="G19" s="156" t="s">
        <v>401</v>
      </c>
      <c r="H19" s="174" t="s">
        <v>520</v>
      </c>
      <c r="I19" s="170" t="s">
        <v>521</v>
      </c>
      <c r="J19" s="196">
        <v>0</v>
      </c>
      <c r="K19" s="196">
        <v>0</v>
      </c>
      <c r="L19" s="196">
        <v>0</v>
      </c>
      <c r="M19" s="177">
        <v>0</v>
      </c>
      <c r="N19" s="196">
        <v>0</v>
      </c>
      <c r="O19" s="177"/>
      <c r="P19" s="246">
        <v>0</v>
      </c>
      <c r="Q19" s="246">
        <v>0</v>
      </c>
      <c r="R19" s="246">
        <v>0</v>
      </c>
      <c r="S19" s="246">
        <v>0</v>
      </c>
      <c r="T19" s="246">
        <v>0</v>
      </c>
      <c r="U19" s="246">
        <v>0</v>
      </c>
    </row>
    <row r="20" spans="1:21" ht="27" x14ac:dyDescent="0.25">
      <c r="A20" s="1"/>
      <c r="B20" s="175">
        <v>36</v>
      </c>
      <c r="C20" s="175">
        <v>5</v>
      </c>
      <c r="D20" s="175" t="s">
        <v>155</v>
      </c>
      <c r="E20" s="155" t="s">
        <v>148</v>
      </c>
      <c r="F20" s="173" t="s">
        <v>98</v>
      </c>
      <c r="G20" s="174" t="s">
        <v>402</v>
      </c>
      <c r="H20" s="174" t="s">
        <v>520</v>
      </c>
      <c r="I20" s="170" t="s">
        <v>521</v>
      </c>
      <c r="J20" s="196">
        <v>0</v>
      </c>
      <c r="K20" s="196">
        <v>0</v>
      </c>
      <c r="L20" s="196">
        <v>0</v>
      </c>
      <c r="M20" s="177">
        <v>0</v>
      </c>
      <c r="N20" s="196">
        <v>0</v>
      </c>
      <c r="O20" s="177">
        <v>0</v>
      </c>
      <c r="P20" s="246">
        <v>0</v>
      </c>
      <c r="Q20" s="246">
        <v>0</v>
      </c>
      <c r="R20" s="246">
        <f t="shared" si="0"/>
        <v>0</v>
      </c>
      <c r="S20" s="246">
        <v>0</v>
      </c>
      <c r="T20" s="246">
        <v>0</v>
      </c>
      <c r="U20" s="246">
        <v>0</v>
      </c>
    </row>
    <row r="21" spans="1:21" ht="13.5" x14ac:dyDescent="0.25">
      <c r="A21" s="1"/>
      <c r="B21" s="175">
        <v>37</v>
      </c>
      <c r="C21" s="175">
        <v>5</v>
      </c>
      <c r="D21" s="175" t="s">
        <v>155</v>
      </c>
      <c r="E21" s="155" t="s">
        <v>148</v>
      </c>
      <c r="F21" s="173" t="s">
        <v>98</v>
      </c>
      <c r="G21" s="231" t="s">
        <v>523</v>
      </c>
      <c r="H21" s="156" t="s">
        <v>166</v>
      </c>
      <c r="I21" s="170" t="s">
        <v>167</v>
      </c>
      <c r="J21" s="196">
        <v>0</v>
      </c>
      <c r="K21" s="196">
        <v>0</v>
      </c>
      <c r="L21" s="196">
        <v>0</v>
      </c>
      <c r="M21" s="242">
        <v>0</v>
      </c>
      <c r="N21" s="243">
        <v>0</v>
      </c>
      <c r="O21" s="242">
        <v>0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</row>
    <row r="22" spans="1:21" ht="27" x14ac:dyDescent="0.25">
      <c r="A22" s="1"/>
      <c r="B22" s="175">
        <v>38</v>
      </c>
      <c r="C22" s="175">
        <v>1</v>
      </c>
      <c r="D22" s="175" t="s">
        <v>157</v>
      </c>
      <c r="E22" s="155" t="s">
        <v>99</v>
      </c>
      <c r="F22" s="173" t="s">
        <v>43</v>
      </c>
      <c r="G22" s="156" t="s">
        <v>403</v>
      </c>
      <c r="H22" s="156" t="s">
        <v>404</v>
      </c>
      <c r="I22" s="170" t="s">
        <v>405</v>
      </c>
      <c r="J22" s="196">
        <v>0</v>
      </c>
      <c r="K22" s="196">
        <v>0</v>
      </c>
      <c r="L22" s="196">
        <v>0</v>
      </c>
      <c r="M22" s="242">
        <v>99250</v>
      </c>
      <c r="N22" s="232">
        <v>0</v>
      </c>
      <c r="O22" s="245">
        <v>0</v>
      </c>
      <c r="P22" s="246">
        <v>0</v>
      </c>
      <c r="Q22" s="246">
        <v>0</v>
      </c>
      <c r="R22" s="246">
        <f t="shared" si="0"/>
        <v>0</v>
      </c>
      <c r="S22" s="246">
        <v>0</v>
      </c>
      <c r="T22" s="246">
        <v>0</v>
      </c>
      <c r="U22" s="246">
        <v>0</v>
      </c>
    </row>
    <row r="23" spans="1:21" ht="27" x14ac:dyDescent="0.25">
      <c r="A23" s="1"/>
      <c r="B23" s="175">
        <v>39</v>
      </c>
      <c r="C23" s="175">
        <v>5</v>
      </c>
      <c r="D23" s="175" t="s">
        <v>155</v>
      </c>
      <c r="E23" s="155" t="s">
        <v>148</v>
      </c>
      <c r="F23" s="173" t="s">
        <v>33</v>
      </c>
      <c r="G23" s="174" t="s">
        <v>406</v>
      </c>
      <c r="H23" s="174" t="s">
        <v>103</v>
      </c>
      <c r="I23" s="170" t="s">
        <v>143</v>
      </c>
      <c r="J23" s="196">
        <v>0</v>
      </c>
      <c r="K23" s="196">
        <v>0</v>
      </c>
      <c r="L23" s="196">
        <v>0</v>
      </c>
      <c r="M23" s="232">
        <v>0</v>
      </c>
      <c r="N23" s="243">
        <v>0</v>
      </c>
      <c r="O23" s="242">
        <v>0</v>
      </c>
      <c r="P23" s="246">
        <v>0</v>
      </c>
      <c r="Q23" s="246">
        <v>0</v>
      </c>
      <c r="R23" s="246">
        <f t="shared" si="0"/>
        <v>0</v>
      </c>
      <c r="S23" s="246">
        <v>0</v>
      </c>
      <c r="T23" s="246">
        <v>0</v>
      </c>
      <c r="U23" s="246">
        <v>0</v>
      </c>
    </row>
    <row r="24" spans="1:21" ht="27" x14ac:dyDescent="0.25">
      <c r="A24" s="1"/>
      <c r="B24" s="175">
        <v>40</v>
      </c>
      <c r="C24" s="175">
        <v>5</v>
      </c>
      <c r="D24" s="175" t="s">
        <v>407</v>
      </c>
      <c r="E24" s="155" t="s">
        <v>148</v>
      </c>
      <c r="F24" s="173" t="s">
        <v>98</v>
      </c>
      <c r="G24" s="174" t="s">
        <v>408</v>
      </c>
      <c r="H24" s="156" t="s">
        <v>427</v>
      </c>
      <c r="I24" s="170" t="s">
        <v>328</v>
      </c>
      <c r="J24" s="196">
        <v>0</v>
      </c>
      <c r="K24" s="196">
        <v>0</v>
      </c>
      <c r="L24" s="196">
        <v>0</v>
      </c>
      <c r="M24" s="244">
        <v>0</v>
      </c>
      <c r="N24" s="243">
        <v>0</v>
      </c>
      <c r="O24" s="242">
        <v>0</v>
      </c>
      <c r="P24" s="246">
        <v>0</v>
      </c>
      <c r="Q24" s="246">
        <v>0</v>
      </c>
      <c r="R24" s="246">
        <f t="shared" si="0"/>
        <v>0</v>
      </c>
      <c r="S24" s="246">
        <v>0</v>
      </c>
      <c r="T24" s="246">
        <v>0</v>
      </c>
      <c r="U24" s="246">
        <v>0</v>
      </c>
    </row>
    <row r="25" spans="1:21" ht="14.25" customHeight="1" x14ac:dyDescent="0.25">
      <c r="A25" s="1"/>
      <c r="B25" s="1"/>
      <c r="C25" s="1"/>
      <c r="D25" s="1"/>
      <c r="E25" s="1"/>
      <c r="F25" s="1"/>
      <c r="G25" s="1"/>
      <c r="H25" s="6"/>
      <c r="I25" s="1"/>
      <c r="J25" s="194">
        <f>SUM(J3:J24)</f>
        <v>-496805.29</v>
      </c>
      <c r="K25" s="194">
        <f>SUM(K3:K24)</f>
        <v>512269.29</v>
      </c>
      <c r="L25" s="194">
        <f t="shared" ref="L25:R25" si="1">SUM(L3:L24)</f>
        <v>-15464</v>
      </c>
      <c r="M25" s="194">
        <f t="shared" si="1"/>
        <v>2737569.08</v>
      </c>
      <c r="N25" s="194"/>
      <c r="O25" s="194">
        <v>0</v>
      </c>
      <c r="P25" s="194">
        <f t="shared" si="1"/>
        <v>1202759.74</v>
      </c>
      <c r="Q25" s="194">
        <f t="shared" si="1"/>
        <v>688625</v>
      </c>
      <c r="R25" s="194">
        <f t="shared" si="1"/>
        <v>783093.75</v>
      </c>
    </row>
    <row r="26" spans="1:21" ht="14.25" customHeight="1" x14ac:dyDescent="0.25">
      <c r="A26" s="1"/>
      <c r="B26" s="1"/>
      <c r="C26" s="1"/>
      <c r="D26" s="1"/>
      <c r="E26" s="1"/>
      <c r="F26" s="1"/>
      <c r="G26" s="1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1" ht="14.25" customHeight="1" x14ac:dyDescent="0.25">
      <c r="A27" s="1"/>
      <c r="B27" s="1"/>
      <c r="C27" s="1"/>
      <c r="D27" s="1"/>
      <c r="E27" s="1"/>
      <c r="F27" s="1"/>
      <c r="G27" s="1"/>
      <c r="H27" s="6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ht="14.25" customHeight="1" x14ac:dyDescent="0.25">
      <c r="A28" s="1"/>
      <c r="B28" s="1"/>
      <c r="C28" s="1"/>
      <c r="D28" s="1"/>
      <c r="E28" s="1"/>
      <c r="F28" s="1"/>
      <c r="G28" s="1"/>
      <c r="H28" s="6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1" ht="14.25" customHeight="1" x14ac:dyDescent="0.25">
      <c r="A29" s="1"/>
      <c r="B29" s="1"/>
      <c r="C29" s="1"/>
      <c r="D29" s="1"/>
      <c r="E29" s="1"/>
      <c r="F29" s="1"/>
      <c r="G29" s="1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1" ht="14.25" customHeight="1" x14ac:dyDescent="0.25">
      <c r="A30" s="1"/>
      <c r="B30" s="1"/>
      <c r="C30" s="1"/>
      <c r="D30" s="1"/>
      <c r="E30" s="1"/>
      <c r="F30" s="1"/>
      <c r="G30" s="1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1" ht="14.25" hidden="1" customHeight="1" x14ac:dyDescent="0.25">
      <c r="A31" s="1"/>
      <c r="B31" s="1"/>
      <c r="C31" s="1"/>
      <c r="D31" s="1"/>
      <c r="E31" s="1"/>
      <c r="F31" s="1"/>
      <c r="G31" s="1"/>
      <c r="H31" s="6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1" ht="14.25" hidden="1" customHeight="1" x14ac:dyDescent="0.25">
      <c r="A32" s="1"/>
      <c r="B32" s="55">
        <v>1</v>
      </c>
      <c r="C32" s="55">
        <v>2</v>
      </c>
      <c r="D32" s="55">
        <v>3</v>
      </c>
      <c r="E32" s="55">
        <v>4</v>
      </c>
      <c r="F32" s="55">
        <v>5</v>
      </c>
      <c r="G32" s="55">
        <v>6</v>
      </c>
      <c r="H32" s="55">
        <v>7</v>
      </c>
      <c r="I32" s="55">
        <v>8</v>
      </c>
      <c r="Q32" s="55">
        <v>12</v>
      </c>
      <c r="R32" s="55">
        <v>13</v>
      </c>
    </row>
    <row r="33" spans="1:4" ht="14.25" hidden="1" customHeight="1" x14ac:dyDescent="0.25">
      <c r="A33" s="1"/>
    </row>
    <row r="34" spans="1:4" ht="14.25" hidden="1" customHeight="1" x14ac:dyDescent="0.25">
      <c r="A34" s="1"/>
    </row>
    <row r="35" spans="1:4" ht="14.25" hidden="1" customHeight="1" x14ac:dyDescent="0.25">
      <c r="A35" s="1"/>
    </row>
    <row r="36" spans="1:4" ht="14.25" hidden="1" customHeight="1" x14ac:dyDescent="0.25">
      <c r="A36" s="1"/>
    </row>
    <row r="38" spans="1:4" ht="14.25" customHeight="1" x14ac:dyDescent="0.25">
      <c r="A38" s="1">
        <v>2024</v>
      </c>
      <c r="B38" s="1" t="s">
        <v>335</v>
      </c>
      <c r="C38" s="1" t="s">
        <v>334</v>
      </c>
      <c r="D38" s="1">
        <v>2024</v>
      </c>
    </row>
    <row r="39" spans="1:4" ht="14.25" customHeight="1" x14ac:dyDescent="0.25">
      <c r="A39" s="1">
        <v>2025</v>
      </c>
      <c r="B39" s="1" t="s">
        <v>336</v>
      </c>
      <c r="C39" s="1" t="s">
        <v>333</v>
      </c>
      <c r="D39" s="1">
        <v>2025</v>
      </c>
    </row>
  </sheetData>
  <sheetProtection algorithmName="SHA-512" hashValue="HyRKmlb5oqu/Te3WJYDNXp892gM2/QEAqVwvECaiGp8PEjvjs39PtL/PdcJcF0uFCG7R7GEJ7rJhTORjquv9xA==" saltValue="XMsIJ30RaC/Wi58Y5bfTBQ==" spinCount="100000" sheet="1" objects="1" scenarios="1"/>
  <conditionalFormatting sqref="F3:F24">
    <cfRule type="containsText" dxfId="11" priority="2" operator="containsText" text="GC">
      <formula>NOT(ISERROR(SEARCH("GC",F3)))</formula>
    </cfRule>
    <cfRule type="containsText" dxfId="10" priority="3" operator="containsText" text="KaM">
      <formula>NOT(ISERROR(SEARCH("KaM",F3)))</formula>
    </cfRule>
    <cfRule type="containsText" dxfId="9" priority="4" operator="containsText" text="ZF">
      <formula>NOT(ISERROR(SEARCH("ZF",F3)))</formula>
    </cfRule>
    <cfRule type="containsText" dxfId="8" priority="5" operator="containsText" text="ZSF">
      <formula>NOT(ISERROR(SEARCH("ZSF",F3)))</formula>
    </cfRule>
    <cfRule type="containsText" dxfId="7" priority="6" operator="containsText" text="TF">
      <formula>NOT(ISERROR(SEARCH("TF",F3)))</formula>
    </cfRule>
    <cfRule type="containsText" dxfId="6" priority="7" operator="containsText" text="FROV">
      <formula>NOT(ISERROR(SEARCH("FROV",F3)))</formula>
    </cfRule>
    <cfRule type="containsText" dxfId="5" priority="8" operator="containsText" text="PřF">
      <formula>NOT(ISERROR(SEARCH("PřF",F3)))</formula>
    </cfRule>
    <cfRule type="containsText" dxfId="4" priority="9" operator="containsText" text="PF">
      <formula>NOT(ISERROR(SEARCH("PF",F3)))</formula>
    </cfRule>
    <cfRule type="containsText" dxfId="3" priority="10" operator="containsText" text="FF">
      <formula>NOT(ISERROR(SEARCH("FF",F3)))</formula>
    </cfRule>
    <cfRule type="containsText" dxfId="2" priority="11" operator="containsText" text="EF">
      <formula>NOT(ISERROR(SEARCH("EF",F3)))</formula>
    </cfRule>
    <cfRule type="containsText" dxfId="1" priority="12" operator="containsText" text="REK">
      <formula>NOT(ISERROR(SEARCH("REK",F3)))</formula>
    </cfRule>
  </conditionalFormatting>
  <conditionalFormatting sqref="S11:T11">
    <cfRule type="cellIs" dxfId="0" priority="1" operator="lessThan">
      <formula>0</formula>
    </cfRule>
  </conditionalFormatting>
  <hyperlinks>
    <hyperlink ref="I4" r:id="rId1" xr:uid="{5DCAC6FE-4126-481A-B1BF-7210285D2F60}"/>
    <hyperlink ref="I19" r:id="rId2" display="lcerna@jcu.cz" xr:uid="{FF51A223-5996-49AD-AB31-A555D61E8C7D}"/>
    <hyperlink ref="I20" r:id="rId3" display="lcerna@jcu.cz" xr:uid="{13D86C18-EE93-4A69-BEEC-35A9AB832DF1}"/>
    <hyperlink ref="I22" r:id="rId4" display="mailto:bsindel@zsf.jcu.cz" xr:uid="{1ABC5677-3219-4F0E-9EFF-38CB15644167}"/>
    <hyperlink ref="I12" r:id="rId5" xr:uid="{08D7EF27-09B1-4446-AEFF-CC0F352B3DB6}"/>
  </hyperlinks>
  <pageMargins left="0.7" right="0.7" top="0.78740157499999996" bottom="0.78740157499999996" header="0.3" footer="0.3"/>
  <pageSetup paperSize="9" scale="23" orientation="landscape"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AR28"/>
  <sheetViews>
    <sheetView zoomScale="115" zoomScaleNormal="115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A2" sqref="A2"/>
    </sheetView>
  </sheetViews>
  <sheetFormatPr defaultColWidth="6.7109375" defaultRowHeight="14.25" customHeight="1" x14ac:dyDescent="0.2"/>
  <cols>
    <col min="1" max="1" width="6.7109375" style="55" customWidth="1"/>
    <col min="2" max="4" width="5" style="55" customWidth="1"/>
    <col min="5" max="5" width="8.140625" style="55" customWidth="1"/>
    <col min="6" max="6" width="7.7109375" style="55" customWidth="1"/>
    <col min="7" max="7" width="12.7109375" style="55" customWidth="1"/>
    <col min="8" max="8" width="29.28515625" style="55" customWidth="1"/>
    <col min="9" max="9" width="13" style="55" customWidth="1"/>
    <col min="10" max="10" width="11.140625" style="55" customWidth="1"/>
    <col min="11" max="19" width="10.140625" style="55" customWidth="1"/>
    <col min="20" max="20" width="18.42578125" style="55" customWidth="1"/>
    <col min="21" max="21" width="7" style="55" customWidth="1"/>
    <col min="22" max="28" width="6.42578125" style="55" customWidth="1"/>
    <col min="29" max="34" width="6.7109375" style="55" customWidth="1"/>
    <col min="35" max="35" width="11.42578125" style="55" customWidth="1"/>
    <col min="36" max="36" width="12" style="55" customWidth="1"/>
    <col min="37" max="37" width="10.28515625" style="55" customWidth="1"/>
    <col min="38" max="38" width="11.85546875" style="55" customWidth="1"/>
    <col min="39" max="39" width="6.7109375" style="55"/>
    <col min="40" max="40" width="7" style="55" bestFit="1" customWidth="1"/>
    <col min="41" max="16384" width="6.7109375" style="55"/>
  </cols>
  <sheetData>
    <row r="1" spans="1:44" ht="14.25" customHeight="1" x14ac:dyDescent="0.2">
      <c r="B1" s="83">
        <v>1</v>
      </c>
      <c r="C1" s="83">
        <v>2</v>
      </c>
      <c r="D1" s="83">
        <v>3</v>
      </c>
      <c r="E1" s="83">
        <v>4</v>
      </c>
      <c r="F1" s="83">
        <v>5</v>
      </c>
      <c r="G1" s="83">
        <v>6</v>
      </c>
      <c r="H1" s="83">
        <v>7</v>
      </c>
      <c r="I1" s="83">
        <v>8</v>
      </c>
      <c r="J1" s="83">
        <v>9</v>
      </c>
      <c r="K1" s="83">
        <v>10</v>
      </c>
      <c r="L1" s="83">
        <v>11</v>
      </c>
      <c r="M1" s="83">
        <v>12</v>
      </c>
      <c r="N1" s="83">
        <v>13</v>
      </c>
      <c r="O1" s="83">
        <v>14</v>
      </c>
      <c r="P1" s="83">
        <v>15</v>
      </c>
      <c r="Q1" s="83">
        <v>16</v>
      </c>
      <c r="R1" s="83">
        <v>17</v>
      </c>
      <c r="S1" s="83">
        <v>18</v>
      </c>
      <c r="T1" s="83">
        <v>19</v>
      </c>
      <c r="U1" s="83">
        <v>20</v>
      </c>
      <c r="V1" s="83">
        <v>21</v>
      </c>
      <c r="W1" s="83">
        <v>22</v>
      </c>
      <c r="X1" s="83">
        <v>23</v>
      </c>
      <c r="Y1" s="83">
        <v>24</v>
      </c>
      <c r="Z1" s="83">
        <v>25</v>
      </c>
      <c r="AA1" s="83">
        <v>26</v>
      </c>
      <c r="AB1" s="83">
        <v>27</v>
      </c>
      <c r="AC1" s="83">
        <v>28</v>
      </c>
      <c r="AD1" s="83">
        <v>29</v>
      </c>
      <c r="AE1" s="83">
        <v>30</v>
      </c>
      <c r="AF1" s="83">
        <v>31</v>
      </c>
      <c r="AG1" s="83">
        <v>32</v>
      </c>
      <c r="AH1" s="83">
        <v>33</v>
      </c>
      <c r="AI1" s="55">
        <v>34</v>
      </c>
      <c r="AJ1" s="55">
        <v>35</v>
      </c>
      <c r="AM1" s="55">
        <v>36</v>
      </c>
      <c r="AN1" s="55">
        <v>37</v>
      </c>
      <c r="AO1" s="55">
        <v>38</v>
      </c>
      <c r="AP1" s="55">
        <v>39</v>
      </c>
      <c r="AQ1" s="55">
        <v>40</v>
      </c>
      <c r="AR1" s="55">
        <v>41</v>
      </c>
    </row>
    <row r="2" spans="1:44" ht="39" customHeight="1" x14ac:dyDescent="0.25">
      <c r="A2" s="1"/>
      <c r="B2" s="74" t="s">
        <v>95</v>
      </c>
      <c r="C2" s="74" t="s">
        <v>145</v>
      </c>
      <c r="D2" s="74" t="s">
        <v>144</v>
      </c>
      <c r="E2" s="74" t="s">
        <v>146</v>
      </c>
      <c r="F2" s="74" t="s">
        <v>96</v>
      </c>
      <c r="G2" s="75" t="s">
        <v>97</v>
      </c>
      <c r="H2" s="75" t="s">
        <v>94</v>
      </c>
      <c r="I2" s="75" t="s">
        <v>46</v>
      </c>
      <c r="J2" s="76" t="s">
        <v>429</v>
      </c>
      <c r="K2" s="76" t="s">
        <v>430</v>
      </c>
      <c r="L2" s="76" t="s">
        <v>431</v>
      </c>
      <c r="M2" s="76" t="s">
        <v>432</v>
      </c>
      <c r="N2" s="77" t="s">
        <v>433</v>
      </c>
      <c r="O2" s="114" t="s">
        <v>434</v>
      </c>
      <c r="P2" s="114" t="s">
        <v>435</v>
      </c>
      <c r="Q2" s="114" t="s">
        <v>436</v>
      </c>
      <c r="R2" s="114" t="s">
        <v>437</v>
      </c>
      <c r="S2" s="115" t="s">
        <v>438</v>
      </c>
      <c r="T2" s="116" t="s">
        <v>56</v>
      </c>
      <c r="U2" s="60" t="s">
        <v>114</v>
      </c>
      <c r="V2" s="116" t="s">
        <v>113</v>
      </c>
      <c r="W2" s="161" t="s">
        <v>460</v>
      </c>
      <c r="X2" s="161" t="s">
        <v>456</v>
      </c>
      <c r="Y2" s="199" t="s">
        <v>455</v>
      </c>
      <c r="Z2" s="199" t="s">
        <v>457</v>
      </c>
      <c r="AA2" s="199" t="s">
        <v>458</v>
      </c>
      <c r="AB2" s="199" t="s">
        <v>459</v>
      </c>
      <c r="AC2" s="216" t="s">
        <v>466</v>
      </c>
      <c r="AD2" s="200" t="s">
        <v>462</v>
      </c>
      <c r="AE2" s="200" t="s">
        <v>461</v>
      </c>
      <c r="AF2" s="200" t="s">
        <v>463</v>
      </c>
      <c r="AG2" s="200" t="s">
        <v>464</v>
      </c>
      <c r="AH2" s="200" t="s">
        <v>465</v>
      </c>
      <c r="AI2" s="256" t="s">
        <v>547</v>
      </c>
      <c r="AJ2" s="256" t="s">
        <v>548</v>
      </c>
      <c r="AK2" s="256" t="s">
        <v>549</v>
      </c>
      <c r="AL2" s="256" t="s">
        <v>550</v>
      </c>
      <c r="AM2" s="161" t="s">
        <v>460</v>
      </c>
      <c r="AN2" s="161" t="s">
        <v>456</v>
      </c>
      <c r="AO2" s="199" t="s">
        <v>455</v>
      </c>
      <c r="AP2" s="199" t="s">
        <v>457</v>
      </c>
      <c r="AQ2" s="199" t="s">
        <v>458</v>
      </c>
      <c r="AR2" s="199" t="s">
        <v>459</v>
      </c>
    </row>
    <row r="3" spans="1:44" ht="14.25" customHeight="1" x14ac:dyDescent="0.25">
      <c r="A3" s="1"/>
      <c r="B3" s="102" t="s">
        <v>38</v>
      </c>
      <c r="C3" s="103" t="s">
        <v>149</v>
      </c>
      <c r="D3" s="103">
        <v>7</v>
      </c>
      <c r="E3" s="103" t="s">
        <v>156</v>
      </c>
      <c r="F3" s="103" t="s">
        <v>98</v>
      </c>
      <c r="G3" s="103" t="s">
        <v>163</v>
      </c>
      <c r="H3" s="103" t="s">
        <v>104</v>
      </c>
      <c r="I3" s="103" t="s">
        <v>59</v>
      </c>
      <c r="J3" s="139">
        <v>0</v>
      </c>
      <c r="K3" s="130">
        <v>94000</v>
      </c>
      <c r="L3" s="136">
        <v>3375000</v>
      </c>
      <c r="M3" s="140">
        <v>3469000</v>
      </c>
      <c r="N3" s="140">
        <v>3469000</v>
      </c>
      <c r="O3" s="135">
        <v>0</v>
      </c>
      <c r="P3" s="130">
        <v>95000</v>
      </c>
      <c r="Q3" s="136">
        <v>3046000</v>
      </c>
      <c r="R3" s="135">
        <v>3141000</v>
      </c>
      <c r="S3" s="135">
        <v>3141000</v>
      </c>
      <c r="T3" s="104" t="s">
        <v>193</v>
      </c>
      <c r="U3" s="105" t="s">
        <v>193</v>
      </c>
      <c r="V3" s="201"/>
      <c r="W3" s="203">
        <v>5</v>
      </c>
      <c r="X3" s="203">
        <v>18</v>
      </c>
      <c r="Y3" s="202">
        <v>52</v>
      </c>
      <c r="Z3" s="203">
        <v>26</v>
      </c>
      <c r="AA3" s="203">
        <v>12</v>
      </c>
      <c r="AB3" s="203">
        <v>1</v>
      </c>
      <c r="AC3" s="206">
        <v>4</v>
      </c>
      <c r="AD3" s="205">
        <v>18</v>
      </c>
      <c r="AE3" s="204">
        <v>48</v>
      </c>
      <c r="AF3" s="206">
        <v>19</v>
      </c>
      <c r="AG3" s="206">
        <v>9</v>
      </c>
      <c r="AH3" s="206">
        <v>1</v>
      </c>
      <c r="AI3" s="257">
        <f>SUM(AI4:AI11)</f>
        <v>0</v>
      </c>
      <c r="AJ3" s="257">
        <f t="shared" ref="AJ3:AL3" si="0">SUM(AJ4:AJ11)</f>
        <v>2378758.4700000002</v>
      </c>
      <c r="AK3" s="257">
        <f t="shared" si="0"/>
        <v>10000</v>
      </c>
      <c r="AL3" s="257">
        <f t="shared" si="0"/>
        <v>1080241.53</v>
      </c>
    </row>
    <row r="4" spans="1:44" ht="14.25" customHeight="1" x14ac:dyDescent="0.25">
      <c r="A4" s="1"/>
      <c r="B4" s="78" t="s">
        <v>38</v>
      </c>
      <c r="C4" s="62" t="s">
        <v>149</v>
      </c>
      <c r="D4" s="62">
        <v>7</v>
      </c>
      <c r="E4" s="62" t="s">
        <v>156</v>
      </c>
      <c r="F4" s="78" t="s">
        <v>32</v>
      </c>
      <c r="G4" s="62" t="s">
        <v>439</v>
      </c>
      <c r="H4" s="117" t="s">
        <v>484</v>
      </c>
      <c r="I4" s="118" t="s">
        <v>485</v>
      </c>
      <c r="J4" s="141">
        <v>0</v>
      </c>
      <c r="K4" s="131">
        <v>0</v>
      </c>
      <c r="L4" s="131">
        <v>590000</v>
      </c>
      <c r="M4" s="141">
        <v>590000</v>
      </c>
      <c r="N4" s="139">
        <v>590000</v>
      </c>
      <c r="O4" s="137">
        <v>0</v>
      </c>
      <c r="P4" s="131">
        <v>0</v>
      </c>
      <c r="Q4" s="131">
        <v>205000</v>
      </c>
      <c r="R4" s="137">
        <v>205000</v>
      </c>
      <c r="S4" s="135">
        <v>205000</v>
      </c>
      <c r="T4" s="61" t="s">
        <v>467</v>
      </c>
      <c r="U4" s="207" t="s">
        <v>119</v>
      </c>
      <c r="V4" s="208"/>
      <c r="W4" s="218">
        <v>0</v>
      </c>
      <c r="X4" s="218">
        <v>0</v>
      </c>
      <c r="Y4" s="219">
        <v>0</v>
      </c>
      <c r="Z4" s="218">
        <v>6</v>
      </c>
      <c r="AA4" s="218">
        <v>3</v>
      </c>
      <c r="AB4" s="218">
        <v>0</v>
      </c>
      <c r="AC4" s="210">
        <v>0</v>
      </c>
      <c r="AD4" s="209">
        <v>0</v>
      </c>
      <c r="AE4" s="209">
        <v>0</v>
      </c>
      <c r="AF4" s="210">
        <v>3</v>
      </c>
      <c r="AG4" s="210">
        <v>2</v>
      </c>
      <c r="AH4" s="210">
        <v>0</v>
      </c>
      <c r="AI4" s="257">
        <v>0</v>
      </c>
      <c r="AJ4" s="257">
        <v>398459.07</v>
      </c>
      <c r="AK4" s="257">
        <v>0</v>
      </c>
      <c r="AL4" s="257">
        <v>191540.93</v>
      </c>
      <c r="AM4" s="55">
        <v>0</v>
      </c>
      <c r="AN4" s="55">
        <v>1</v>
      </c>
      <c r="AO4" s="55">
        <v>2</v>
      </c>
      <c r="AP4" s="55">
        <v>12</v>
      </c>
      <c r="AQ4" s="55">
        <v>5</v>
      </c>
      <c r="AR4" s="55">
        <v>0</v>
      </c>
    </row>
    <row r="5" spans="1:44" ht="14.25" customHeight="1" x14ac:dyDescent="0.25">
      <c r="A5" s="1"/>
      <c r="B5" s="78" t="s">
        <v>38</v>
      </c>
      <c r="C5" s="62" t="s">
        <v>149</v>
      </c>
      <c r="D5" s="62">
        <v>7</v>
      </c>
      <c r="E5" s="62" t="s">
        <v>156</v>
      </c>
      <c r="F5" s="78" t="s">
        <v>33</v>
      </c>
      <c r="G5" s="62" t="s">
        <v>440</v>
      </c>
      <c r="H5" s="117" t="s">
        <v>518</v>
      </c>
      <c r="I5" s="118" t="s">
        <v>519</v>
      </c>
      <c r="J5" s="141">
        <v>0</v>
      </c>
      <c r="K5" s="131">
        <v>0</v>
      </c>
      <c r="L5" s="131">
        <v>392000</v>
      </c>
      <c r="M5" s="141">
        <v>392000</v>
      </c>
      <c r="N5" s="139">
        <v>392000</v>
      </c>
      <c r="O5" s="137">
        <v>0</v>
      </c>
      <c r="P5" s="131">
        <v>0</v>
      </c>
      <c r="Q5" s="131">
        <v>467000</v>
      </c>
      <c r="R5" s="137">
        <v>467000</v>
      </c>
      <c r="S5" s="135">
        <v>467000</v>
      </c>
      <c r="T5" s="61" t="s">
        <v>468</v>
      </c>
      <c r="U5" s="207" t="s">
        <v>115</v>
      </c>
      <c r="V5" s="211"/>
      <c r="W5" s="218">
        <v>0</v>
      </c>
      <c r="X5" s="218">
        <v>0</v>
      </c>
      <c r="Y5" s="219">
        <v>2</v>
      </c>
      <c r="Z5" s="218">
        <v>2</v>
      </c>
      <c r="AA5" s="218">
        <v>2</v>
      </c>
      <c r="AB5" s="218">
        <v>0</v>
      </c>
      <c r="AC5" s="210">
        <v>0</v>
      </c>
      <c r="AD5" s="209">
        <v>0</v>
      </c>
      <c r="AE5" s="209">
        <v>4</v>
      </c>
      <c r="AF5" s="210">
        <v>2</v>
      </c>
      <c r="AG5" s="210">
        <v>2</v>
      </c>
      <c r="AH5" s="210">
        <v>0</v>
      </c>
      <c r="AI5" s="257">
        <v>0</v>
      </c>
      <c r="AJ5" s="257">
        <v>94813</v>
      </c>
      <c r="AK5" s="257">
        <v>0</v>
      </c>
      <c r="AL5" s="257">
        <v>297187</v>
      </c>
      <c r="AM5" s="55">
        <v>0</v>
      </c>
      <c r="AN5" s="55">
        <v>0</v>
      </c>
      <c r="AO5" s="55">
        <v>2</v>
      </c>
      <c r="AP5" s="55">
        <v>0</v>
      </c>
      <c r="AQ5" s="55">
        <v>4</v>
      </c>
      <c r="AR5" s="55">
        <v>0</v>
      </c>
    </row>
    <row r="6" spans="1:44" ht="14.25" customHeight="1" x14ac:dyDescent="0.25">
      <c r="A6" s="1"/>
      <c r="B6" s="78" t="s">
        <v>38</v>
      </c>
      <c r="C6" s="62" t="s">
        <v>149</v>
      </c>
      <c r="D6" s="62">
        <v>7</v>
      </c>
      <c r="E6" s="62" t="s">
        <v>156</v>
      </c>
      <c r="F6" s="78" t="s">
        <v>34</v>
      </c>
      <c r="G6" s="62" t="s">
        <v>441</v>
      </c>
      <c r="H6" s="117" t="s">
        <v>482</v>
      </c>
      <c r="I6" s="118" t="s">
        <v>483</v>
      </c>
      <c r="J6" s="141">
        <v>0</v>
      </c>
      <c r="K6" s="131">
        <v>0</v>
      </c>
      <c r="L6" s="131">
        <v>445000</v>
      </c>
      <c r="M6" s="141">
        <v>445000</v>
      </c>
      <c r="N6" s="139">
        <v>445000</v>
      </c>
      <c r="O6" s="137">
        <v>0</v>
      </c>
      <c r="P6" s="131">
        <v>0</v>
      </c>
      <c r="Q6" s="131">
        <v>445000</v>
      </c>
      <c r="R6" s="137">
        <v>445000</v>
      </c>
      <c r="S6" s="135">
        <v>445000</v>
      </c>
      <c r="T6" s="61" t="s">
        <v>469</v>
      </c>
      <c r="U6" s="207" t="s">
        <v>192</v>
      </c>
      <c r="V6" s="212"/>
      <c r="W6" s="218">
        <v>0</v>
      </c>
      <c r="X6" s="218">
        <v>0</v>
      </c>
      <c r="Y6" s="220">
        <v>7</v>
      </c>
      <c r="Z6" s="218">
        <v>2</v>
      </c>
      <c r="AA6" s="218">
        <v>0</v>
      </c>
      <c r="AB6" s="218">
        <v>1</v>
      </c>
      <c r="AC6" s="210">
        <v>0</v>
      </c>
      <c r="AD6" s="209">
        <v>0</v>
      </c>
      <c r="AE6" s="213">
        <v>7</v>
      </c>
      <c r="AF6" s="210">
        <v>2</v>
      </c>
      <c r="AG6" s="210">
        <v>0</v>
      </c>
      <c r="AH6" s="210">
        <v>1</v>
      </c>
      <c r="AI6" s="257">
        <v>0</v>
      </c>
      <c r="AJ6" s="257">
        <v>394147</v>
      </c>
      <c r="AK6" s="257">
        <v>0</v>
      </c>
      <c r="AL6" s="257">
        <v>50853</v>
      </c>
      <c r="AM6" s="55">
        <v>1</v>
      </c>
      <c r="AN6" s="55">
        <v>0</v>
      </c>
      <c r="AO6" s="55">
        <v>9</v>
      </c>
      <c r="AP6" s="55">
        <v>5</v>
      </c>
      <c r="AQ6" s="55">
        <v>0</v>
      </c>
      <c r="AR6" s="55">
        <v>1</v>
      </c>
    </row>
    <row r="7" spans="1:44" ht="14.25" customHeight="1" x14ac:dyDescent="0.25">
      <c r="A7" s="1"/>
      <c r="B7" s="78" t="s">
        <v>38</v>
      </c>
      <c r="C7" s="62" t="s">
        <v>149</v>
      </c>
      <c r="D7" s="62">
        <v>7</v>
      </c>
      <c r="E7" s="62" t="s">
        <v>156</v>
      </c>
      <c r="F7" s="78" t="s">
        <v>191</v>
      </c>
      <c r="G7" s="62" t="s">
        <v>442</v>
      </c>
      <c r="H7" s="117" t="s">
        <v>443</v>
      </c>
      <c r="I7" s="118" t="s">
        <v>444</v>
      </c>
      <c r="J7" s="141">
        <v>0</v>
      </c>
      <c r="K7" s="131">
        <v>0</v>
      </c>
      <c r="L7" s="131">
        <v>435000</v>
      </c>
      <c r="M7" s="141">
        <v>435000</v>
      </c>
      <c r="N7" s="139">
        <v>435000</v>
      </c>
      <c r="O7" s="137">
        <v>0</v>
      </c>
      <c r="P7" s="131">
        <v>0</v>
      </c>
      <c r="Q7" s="131">
        <v>436000</v>
      </c>
      <c r="R7" s="137">
        <v>436000</v>
      </c>
      <c r="S7" s="135">
        <v>436000</v>
      </c>
      <c r="T7" s="61" t="s">
        <v>470</v>
      </c>
      <c r="U7" s="207" t="s">
        <v>122</v>
      </c>
      <c r="V7" s="212"/>
      <c r="W7" s="218">
        <v>0</v>
      </c>
      <c r="X7" s="218">
        <v>0</v>
      </c>
      <c r="Y7" s="218">
        <v>7</v>
      </c>
      <c r="Z7" s="218">
        <v>6</v>
      </c>
      <c r="AA7" s="218">
        <v>0</v>
      </c>
      <c r="AB7" s="218">
        <v>0</v>
      </c>
      <c r="AC7" s="210">
        <v>0</v>
      </c>
      <c r="AD7" s="209">
        <v>0</v>
      </c>
      <c r="AE7" s="209">
        <v>7</v>
      </c>
      <c r="AF7" s="210">
        <v>6</v>
      </c>
      <c r="AG7" s="210">
        <v>0</v>
      </c>
      <c r="AH7" s="210">
        <v>0</v>
      </c>
      <c r="AI7" s="257">
        <v>0</v>
      </c>
      <c r="AJ7" s="257">
        <v>435000</v>
      </c>
      <c r="AK7" s="257">
        <v>0</v>
      </c>
      <c r="AL7" s="257">
        <v>0</v>
      </c>
      <c r="AM7" s="55">
        <v>0</v>
      </c>
      <c r="AN7" s="55">
        <v>0</v>
      </c>
      <c r="AO7" s="55">
        <v>7</v>
      </c>
      <c r="AP7" s="55">
        <v>5</v>
      </c>
      <c r="AQ7" s="55">
        <v>0</v>
      </c>
      <c r="AR7" s="55">
        <v>0</v>
      </c>
    </row>
    <row r="8" spans="1:44" ht="14.25" customHeight="1" x14ac:dyDescent="0.25">
      <c r="A8" s="1"/>
      <c r="B8" s="78" t="s">
        <v>38</v>
      </c>
      <c r="C8" s="62" t="s">
        <v>149</v>
      </c>
      <c r="D8" s="62">
        <v>7</v>
      </c>
      <c r="E8" s="62" t="s">
        <v>156</v>
      </c>
      <c r="F8" s="78" t="s">
        <v>40</v>
      </c>
      <c r="G8" s="62" t="s">
        <v>445</v>
      </c>
      <c r="H8" s="117" t="s">
        <v>446</v>
      </c>
      <c r="I8" s="118" t="s">
        <v>447</v>
      </c>
      <c r="J8" s="141">
        <v>0</v>
      </c>
      <c r="K8" s="131">
        <v>0</v>
      </c>
      <c r="L8" s="131">
        <v>393000</v>
      </c>
      <c r="M8" s="141">
        <v>393000</v>
      </c>
      <c r="N8" s="139">
        <v>393000</v>
      </c>
      <c r="O8" s="137">
        <v>0</v>
      </c>
      <c r="P8" s="131">
        <v>0</v>
      </c>
      <c r="Q8" s="131">
        <v>393000</v>
      </c>
      <c r="R8" s="137">
        <v>393000</v>
      </c>
      <c r="S8" s="135">
        <v>393000</v>
      </c>
      <c r="T8" s="61" t="s">
        <v>471</v>
      </c>
      <c r="U8" s="207" t="s">
        <v>120</v>
      </c>
      <c r="V8" s="208"/>
      <c r="W8" s="218">
        <v>0</v>
      </c>
      <c r="X8" s="218">
        <v>0</v>
      </c>
      <c r="Y8" s="221">
        <v>10</v>
      </c>
      <c r="Z8" s="218">
        <v>2</v>
      </c>
      <c r="AA8" s="218">
        <v>1</v>
      </c>
      <c r="AB8" s="218">
        <v>0</v>
      </c>
      <c r="AC8" s="210">
        <v>0</v>
      </c>
      <c r="AD8" s="209">
        <v>0</v>
      </c>
      <c r="AE8" s="213">
        <v>10</v>
      </c>
      <c r="AF8" s="210">
        <v>2</v>
      </c>
      <c r="AG8" s="210">
        <v>1</v>
      </c>
      <c r="AH8" s="210">
        <v>0</v>
      </c>
      <c r="AI8" s="257">
        <v>0</v>
      </c>
      <c r="AJ8" s="257">
        <v>393000</v>
      </c>
      <c r="AK8" s="257">
        <v>0</v>
      </c>
      <c r="AL8" s="257">
        <v>0</v>
      </c>
      <c r="AM8" s="55">
        <v>0</v>
      </c>
      <c r="AN8" s="55">
        <v>0</v>
      </c>
      <c r="AO8" s="55">
        <v>10</v>
      </c>
      <c r="AP8" s="55">
        <v>2</v>
      </c>
      <c r="AQ8" s="55">
        <v>1</v>
      </c>
      <c r="AR8" s="55">
        <v>0</v>
      </c>
    </row>
    <row r="9" spans="1:44" ht="14.25" customHeight="1" x14ac:dyDescent="0.25">
      <c r="A9" s="1"/>
      <c r="B9" s="78" t="s">
        <v>38</v>
      </c>
      <c r="C9" s="62" t="s">
        <v>149</v>
      </c>
      <c r="D9" s="62">
        <v>7</v>
      </c>
      <c r="E9" s="62" t="s">
        <v>156</v>
      </c>
      <c r="F9" s="78" t="s">
        <v>41</v>
      </c>
      <c r="G9" s="62" t="s">
        <v>448</v>
      </c>
      <c r="H9" s="117" t="s">
        <v>449</v>
      </c>
      <c r="I9" s="118" t="s">
        <v>450</v>
      </c>
      <c r="J9" s="141">
        <v>0</v>
      </c>
      <c r="K9" s="131">
        <v>0</v>
      </c>
      <c r="L9" s="131">
        <v>384000</v>
      </c>
      <c r="M9" s="141">
        <v>384000</v>
      </c>
      <c r="N9" s="139">
        <v>384000</v>
      </c>
      <c r="O9" s="137">
        <v>0</v>
      </c>
      <c r="P9" s="131">
        <v>85000</v>
      </c>
      <c r="Q9" s="131">
        <v>300000</v>
      </c>
      <c r="R9" s="137">
        <v>385000</v>
      </c>
      <c r="S9" s="135">
        <v>385000</v>
      </c>
      <c r="T9" s="61" t="s">
        <v>472</v>
      </c>
      <c r="U9" s="207" t="s">
        <v>121</v>
      </c>
      <c r="V9" s="212"/>
      <c r="W9" s="218">
        <v>0</v>
      </c>
      <c r="X9" s="218">
        <v>16</v>
      </c>
      <c r="Y9" s="218">
        <v>10</v>
      </c>
      <c r="Z9" s="218">
        <v>2</v>
      </c>
      <c r="AA9" s="218">
        <v>3</v>
      </c>
      <c r="AB9" s="218">
        <v>0</v>
      </c>
      <c r="AC9" s="210">
        <v>0</v>
      </c>
      <c r="AD9" s="209">
        <v>16</v>
      </c>
      <c r="AE9" s="209">
        <v>10</v>
      </c>
      <c r="AF9" s="210">
        <v>2</v>
      </c>
      <c r="AG9" s="210">
        <v>3</v>
      </c>
      <c r="AH9" s="210">
        <v>0</v>
      </c>
      <c r="AI9" s="257">
        <v>0</v>
      </c>
      <c r="AJ9" s="257">
        <v>384000</v>
      </c>
      <c r="AK9" s="257">
        <v>0</v>
      </c>
      <c r="AL9" s="257">
        <v>0</v>
      </c>
      <c r="AM9" s="55">
        <v>0</v>
      </c>
      <c r="AN9" s="55">
        <v>16</v>
      </c>
      <c r="AO9" s="55">
        <v>13</v>
      </c>
      <c r="AP9" s="55">
        <v>2</v>
      </c>
      <c r="AQ9" s="55">
        <v>3</v>
      </c>
      <c r="AR9" s="55">
        <v>0</v>
      </c>
    </row>
    <row r="10" spans="1:44" ht="14.25" customHeight="1" x14ac:dyDescent="0.25">
      <c r="A10" s="1"/>
      <c r="B10" s="78" t="s">
        <v>38</v>
      </c>
      <c r="C10" s="62" t="s">
        <v>149</v>
      </c>
      <c r="D10" s="62">
        <v>7</v>
      </c>
      <c r="E10" s="62" t="s">
        <v>156</v>
      </c>
      <c r="F10" s="78" t="s">
        <v>42</v>
      </c>
      <c r="G10" s="62" t="s">
        <v>451</v>
      </c>
      <c r="H10" s="117" t="s">
        <v>486</v>
      </c>
      <c r="I10" s="118" t="s">
        <v>487</v>
      </c>
      <c r="J10" s="141">
        <v>0</v>
      </c>
      <c r="K10" s="131">
        <v>10000</v>
      </c>
      <c r="L10" s="131">
        <v>369000</v>
      </c>
      <c r="M10" s="141">
        <v>379000</v>
      </c>
      <c r="N10" s="139">
        <v>379000</v>
      </c>
      <c r="O10" s="137">
        <v>0</v>
      </c>
      <c r="P10" s="131">
        <v>10000</v>
      </c>
      <c r="Q10" s="131">
        <v>470000</v>
      </c>
      <c r="R10" s="137">
        <v>480000</v>
      </c>
      <c r="S10" s="135">
        <v>480000</v>
      </c>
      <c r="T10" s="61" t="s">
        <v>473</v>
      </c>
      <c r="U10" s="207" t="s">
        <v>116</v>
      </c>
      <c r="V10" s="208"/>
      <c r="W10" s="218">
        <v>4</v>
      </c>
      <c r="X10" s="218">
        <v>0</v>
      </c>
      <c r="Y10" s="219">
        <v>0</v>
      </c>
      <c r="Z10" s="218">
        <v>2</v>
      </c>
      <c r="AA10" s="218">
        <v>1</v>
      </c>
      <c r="AB10" s="218">
        <v>0</v>
      </c>
      <c r="AC10" s="210">
        <v>4</v>
      </c>
      <c r="AD10" s="209">
        <v>0</v>
      </c>
      <c r="AE10" s="209">
        <v>2</v>
      </c>
      <c r="AF10" s="210">
        <v>1</v>
      </c>
      <c r="AG10" s="210">
        <v>1</v>
      </c>
      <c r="AH10" s="210">
        <v>0</v>
      </c>
      <c r="AI10" s="257">
        <v>0</v>
      </c>
      <c r="AJ10" s="257">
        <v>71429</v>
      </c>
      <c r="AK10" s="257">
        <v>10000</v>
      </c>
      <c r="AL10" s="257">
        <v>297571</v>
      </c>
      <c r="AM10" s="55">
        <v>0</v>
      </c>
      <c r="AN10" s="55">
        <v>0</v>
      </c>
      <c r="AO10" s="55">
        <v>0</v>
      </c>
      <c r="AP10" s="55">
        <v>1</v>
      </c>
      <c r="AQ10" s="55">
        <v>0</v>
      </c>
      <c r="AR10" s="55">
        <v>0</v>
      </c>
    </row>
    <row r="11" spans="1:44" ht="14.25" customHeight="1" x14ac:dyDescent="0.25">
      <c r="A11" s="1"/>
      <c r="B11" s="78" t="s">
        <v>38</v>
      </c>
      <c r="C11" s="62" t="s">
        <v>149</v>
      </c>
      <c r="D11" s="62">
        <v>7</v>
      </c>
      <c r="E11" s="62" t="s">
        <v>156</v>
      </c>
      <c r="F11" s="78" t="s">
        <v>43</v>
      </c>
      <c r="G11" s="62" t="s">
        <v>452</v>
      </c>
      <c r="H11" s="117" t="s">
        <v>453</v>
      </c>
      <c r="I11" s="119" t="s">
        <v>454</v>
      </c>
      <c r="J11" s="141">
        <v>0</v>
      </c>
      <c r="K11" s="131">
        <v>0</v>
      </c>
      <c r="L11" s="131">
        <v>451000</v>
      </c>
      <c r="M11" s="141">
        <v>451000</v>
      </c>
      <c r="N11" s="139">
        <v>451000</v>
      </c>
      <c r="O11" s="138">
        <v>0</v>
      </c>
      <c r="P11" s="131">
        <v>0</v>
      </c>
      <c r="Q11" s="131">
        <v>330000</v>
      </c>
      <c r="R11" s="137">
        <v>330000</v>
      </c>
      <c r="S11" s="135">
        <v>330000</v>
      </c>
      <c r="T11" s="61" t="s">
        <v>474</v>
      </c>
      <c r="U11" s="255" t="s">
        <v>184</v>
      </c>
      <c r="V11" s="212"/>
      <c r="W11" s="218">
        <v>0</v>
      </c>
      <c r="X11" s="218">
        <v>2</v>
      </c>
      <c r="Y11" s="218">
        <v>8</v>
      </c>
      <c r="Z11" s="218">
        <v>4</v>
      </c>
      <c r="AA11" s="218">
        <v>2</v>
      </c>
      <c r="AB11" s="218">
        <v>0</v>
      </c>
      <c r="AC11" s="210">
        <v>0</v>
      </c>
      <c r="AD11" s="209">
        <v>2</v>
      </c>
      <c r="AE11" s="209">
        <v>8</v>
      </c>
      <c r="AF11" s="210">
        <v>3</v>
      </c>
      <c r="AG11" s="210">
        <v>0</v>
      </c>
      <c r="AH11" s="210">
        <v>0</v>
      </c>
      <c r="AI11" s="257">
        <v>0</v>
      </c>
      <c r="AJ11" s="257">
        <v>207910.39999999999</v>
      </c>
      <c r="AK11" s="257">
        <v>0</v>
      </c>
      <c r="AL11" s="257">
        <v>243089.6</v>
      </c>
      <c r="AM11" s="55">
        <v>0</v>
      </c>
      <c r="AN11" s="55">
        <v>0</v>
      </c>
      <c r="AO11" s="55">
        <v>5</v>
      </c>
      <c r="AP11" s="55">
        <v>2</v>
      </c>
      <c r="AQ11" s="55">
        <v>0</v>
      </c>
      <c r="AR11" s="55">
        <v>0</v>
      </c>
    </row>
    <row r="12" spans="1:44" ht="14.25" customHeight="1" x14ac:dyDescent="0.25">
      <c r="A12" s="1"/>
      <c r="B12" s="1"/>
      <c r="C12" s="1"/>
      <c r="D12" s="1"/>
      <c r="E12" s="1"/>
      <c r="F12" s="1"/>
      <c r="G12" s="1"/>
      <c r="H12" s="6"/>
      <c r="I12" s="1"/>
      <c r="J12" s="1"/>
      <c r="K12" s="1">
        <v>94000</v>
      </c>
      <c r="L12" s="108">
        <v>3375000</v>
      </c>
      <c r="M12" s="1"/>
      <c r="N12" s="1">
        <v>3469000</v>
      </c>
      <c r="O12" s="1"/>
      <c r="P12" s="1">
        <v>95000</v>
      </c>
      <c r="Q12" s="108">
        <v>3046000</v>
      </c>
      <c r="R12" s="1"/>
      <c r="S12" s="1">
        <v>3141000</v>
      </c>
      <c r="T12" s="214"/>
      <c r="U12" s="214"/>
      <c r="V12" s="198"/>
      <c r="W12" s="215">
        <f t="shared" ref="W12:X12" si="1">SUM(W4:W11)</f>
        <v>4</v>
      </c>
      <c r="X12" s="215">
        <f t="shared" si="1"/>
        <v>18</v>
      </c>
      <c r="Y12" s="215">
        <f>SUM(Y4:Y11)</f>
        <v>44</v>
      </c>
      <c r="Z12" s="215">
        <f t="shared" ref="Z12" si="2">SUM(Z4:Z11)</f>
        <v>26</v>
      </c>
      <c r="AA12" s="215">
        <f t="shared" ref="AA12:AB12" si="3">SUM(AA4:AA11)</f>
        <v>12</v>
      </c>
      <c r="AB12" s="215">
        <f t="shared" si="3"/>
        <v>1</v>
      </c>
      <c r="AC12" s="215">
        <f t="shared" ref="AC12" si="4">SUM(AC4:AC11)</f>
        <v>4</v>
      </c>
      <c r="AD12" s="215">
        <f t="shared" ref="AD12:AE12" si="5">SUM(AD4:AD11)</f>
        <v>18</v>
      </c>
      <c r="AE12" s="215">
        <f t="shared" si="5"/>
        <v>48</v>
      </c>
      <c r="AF12" s="215">
        <f t="shared" ref="AF12" si="6">SUM(AF4:AF11)</f>
        <v>21</v>
      </c>
      <c r="AG12" s="215">
        <f t="shared" ref="AG12:AH12" si="7">SUM(AG4:AG11)</f>
        <v>9</v>
      </c>
      <c r="AH12" s="215">
        <f t="shared" si="7"/>
        <v>1</v>
      </c>
      <c r="AI12" s="257"/>
      <c r="AJ12" s="257"/>
      <c r="AK12" s="257"/>
      <c r="AL12" s="257"/>
      <c r="AM12" s="55">
        <f>SUM(AM4:AM11)</f>
        <v>1</v>
      </c>
      <c r="AN12" s="55">
        <f t="shared" ref="AN12:AR12" si="8">SUM(AN4:AN11)</f>
        <v>17</v>
      </c>
      <c r="AO12" s="55">
        <f t="shared" si="8"/>
        <v>48</v>
      </c>
      <c r="AP12" s="55">
        <f t="shared" si="8"/>
        <v>29</v>
      </c>
      <c r="AQ12" s="55">
        <f t="shared" si="8"/>
        <v>13</v>
      </c>
      <c r="AR12" s="55">
        <f t="shared" si="8"/>
        <v>1</v>
      </c>
    </row>
    <row r="13" spans="1:44" ht="14.25" hidden="1" customHeight="1" x14ac:dyDescent="0.25">
      <c r="A13" s="1"/>
      <c r="B13" s="1"/>
      <c r="C13" s="1"/>
      <c r="D13" s="1"/>
      <c r="E13" s="1"/>
      <c r="F13" s="1"/>
      <c r="G13" s="1"/>
      <c r="H13" s="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44" ht="14.25" hidden="1" customHeight="1" x14ac:dyDescent="0.25">
      <c r="A14" s="1"/>
      <c r="B14" s="1"/>
      <c r="C14" s="1"/>
      <c r="D14" s="1"/>
      <c r="E14" s="1"/>
      <c r="F14" s="1"/>
      <c r="G14" s="1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44" ht="14.25" hidden="1" customHeight="1" x14ac:dyDescent="0.25">
      <c r="A15" s="1"/>
      <c r="B15" s="1"/>
      <c r="C15" s="1"/>
      <c r="D15" s="1"/>
      <c r="E15" s="1"/>
      <c r="F15" s="1"/>
      <c r="G15" s="1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44" ht="14.25" hidden="1" customHeight="1" x14ac:dyDescent="0.25">
      <c r="A16" s="1"/>
      <c r="B16" s="1"/>
      <c r="C16" s="1"/>
      <c r="D16" s="1"/>
      <c r="E16" s="1"/>
      <c r="F16" s="1"/>
      <c r="G16" s="1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44" ht="14.25" hidden="1" customHeight="1" x14ac:dyDescent="0.25">
      <c r="A17" s="1"/>
      <c r="B17" s="1"/>
      <c r="C17" s="1"/>
      <c r="D17" s="1"/>
      <c r="E17" s="1"/>
      <c r="F17" s="1"/>
      <c r="G17" s="1"/>
      <c r="H17" s="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44" ht="14.25" hidden="1" customHeight="1" x14ac:dyDescent="0.25">
      <c r="A18" s="1"/>
      <c r="B18" s="1"/>
      <c r="C18" s="1"/>
      <c r="D18" s="1"/>
      <c r="E18" s="1"/>
      <c r="F18" s="1"/>
      <c r="G18" s="1"/>
      <c r="H18" s="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20" spans="1:44" ht="14.25" customHeight="1" x14ac:dyDescent="0.2">
      <c r="F20" s="55">
        <v>1</v>
      </c>
      <c r="G20" s="55">
        <v>2</v>
      </c>
      <c r="H20" s="55">
        <v>3</v>
      </c>
      <c r="I20" s="55">
        <v>4</v>
      </c>
      <c r="J20" s="55">
        <v>5</v>
      </c>
      <c r="K20" s="55">
        <v>6</v>
      </c>
      <c r="L20" s="55">
        <v>7</v>
      </c>
      <c r="M20" s="55">
        <v>8</v>
      </c>
      <c r="N20" s="55">
        <v>9</v>
      </c>
      <c r="O20" s="55">
        <v>10</v>
      </c>
      <c r="P20" s="55">
        <v>11</v>
      </c>
      <c r="Q20" s="55">
        <v>12</v>
      </c>
      <c r="R20" s="55">
        <v>13</v>
      </c>
      <c r="S20" s="55">
        <v>14</v>
      </c>
      <c r="T20" s="55">
        <v>15</v>
      </c>
      <c r="U20" s="55">
        <v>16</v>
      </c>
      <c r="V20" s="55">
        <v>17</v>
      </c>
      <c r="W20" s="55">
        <v>18</v>
      </c>
      <c r="X20" s="55">
        <v>19</v>
      </c>
      <c r="Y20" s="55">
        <v>20</v>
      </c>
      <c r="Z20" s="55">
        <v>21</v>
      </c>
      <c r="AA20" s="55">
        <v>22</v>
      </c>
      <c r="AB20" s="55">
        <v>23</v>
      </c>
      <c r="AC20" s="55">
        <v>24</v>
      </c>
      <c r="AD20" s="55">
        <v>25</v>
      </c>
      <c r="AE20" s="55">
        <v>26</v>
      </c>
      <c r="AF20" s="55">
        <v>27</v>
      </c>
      <c r="AG20" s="55">
        <v>28</v>
      </c>
      <c r="AH20" s="55">
        <v>29</v>
      </c>
      <c r="AI20" s="55">
        <v>30</v>
      </c>
      <c r="AJ20" s="55">
        <v>31</v>
      </c>
      <c r="AK20" s="55">
        <v>32</v>
      </c>
      <c r="AL20" s="55">
        <v>33</v>
      </c>
      <c r="AM20" s="55">
        <v>34</v>
      </c>
      <c r="AN20" s="55">
        <v>35</v>
      </c>
      <c r="AO20" s="55">
        <v>36</v>
      </c>
      <c r="AP20" s="55">
        <v>37</v>
      </c>
      <c r="AQ20" s="55">
        <v>38</v>
      </c>
      <c r="AR20" s="55">
        <v>39</v>
      </c>
    </row>
    <row r="25" spans="1:44" ht="14.25" customHeight="1" x14ac:dyDescent="0.2">
      <c r="AC25" s="217"/>
    </row>
    <row r="28" spans="1:44" ht="14.25" customHeight="1" x14ac:dyDescent="0.2">
      <c r="T28" s="61"/>
      <c r="U28" s="84"/>
    </row>
  </sheetData>
  <sheetProtection algorithmName="SHA-512" hashValue="rf0yI4qKA0gGywnkqGpWffW7K9Y/nm/u5h8xxW3yuHfR19vX+t8xH5PRqIf41h18c6Kkcyw+d4HGq7Nge2ebPw==" saltValue="pQ3gzK+Z9lXmaAYM4ZTEpw==" spinCount="100000" sheet="1" selectLockedCells="1" selectUnlockedCells="1"/>
  <hyperlinks>
    <hyperlink ref="I7" r:id="rId1" display="konvalina@fzt.jcu.cz" xr:uid="{70105FFB-0AE5-4A0A-B344-5389252B541F}"/>
    <hyperlink ref="I11" r:id="rId2" display="mailto:zoelzer@zsf.jcu.cz" xr:uid="{A49E2C6B-ACA3-41A6-8E08-7797EAB5CB2E}"/>
    <hyperlink ref="I10" r:id="rId3" display="mailto:novotnyd@tf.jcu.cz" xr:uid="{8B5D6A7D-6483-4F41-B649-3AF8C435475F}"/>
    <hyperlink ref="I9" r:id="rId4" display="mailto:majka@prf.jcu.cz" xr:uid="{2520FE1B-74B5-4DB1-914E-7D3EDD2BDD4A}"/>
    <hyperlink ref="I8" r:id="rId5" display="mailto:betakova@pf.jcu.cz" xr:uid="{838B9FB7-BB69-4EC9-BD3C-CC9C00DAE733}"/>
    <hyperlink ref="I6" r:id="rId6" display="mailto:vzlabek@frov.jcu.cz" xr:uid="{80008479-95C0-44C6-A142-3EE80FC768BA}"/>
    <hyperlink ref="I5" r:id="rId7" display="mailto:kral@ff.jcu.cz" xr:uid="{CC0C8DB0-EC2B-4A35-B4EB-6EBC2A57715F}"/>
    <hyperlink ref="I4" r:id="rId8" display="mailto:kpicha@ef.jcu.cz" xr:uid="{3E1DF1F0-8478-415D-9259-ACE30EF52DBC}"/>
  </hyperlinks>
  <pageMargins left="0.7" right="0.7" top="0.78740157499999996" bottom="0.78740157499999996" header="0.3" footer="0.3"/>
  <pageSetup paperSize="9" scale="82" orientation="landscape" r:id="rId9"/>
  <colBreaks count="1" manualBreakCount="1">
    <brk id="14" max="1048575" man="1"/>
  </colBreaks>
  <legacyDrawing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4B0757F7999542B25D2087F2A13603" ma:contentTypeVersion="2" ma:contentTypeDescription="Vytvoří nový dokument" ma:contentTypeScope="" ma:versionID="5e17896b5dd015cda66a34a23da7bc30">
  <xsd:schema xmlns:xsd="http://www.w3.org/2001/XMLSchema" xmlns:xs="http://www.w3.org/2001/XMLSchema" xmlns:p="http://schemas.microsoft.com/office/2006/metadata/properties" xmlns:ns2="c4de444a-2853-4fb5-bc6e-24d479ac7bcd" targetNamespace="http://schemas.microsoft.com/office/2006/metadata/properties" ma:root="true" ma:fieldsID="8faf2fe5351a306832d94a77f41242bc" ns2:_="">
    <xsd:import namespace="c4de444a-2853-4fb5-bc6e-24d479ac7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444a-2853-4fb5-bc6e-24d479ac7b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9B6B99-B755-477A-A4E3-CD8F10BC20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de444a-2853-4fb5-bc6e-24d479ac7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A6E353-6000-42AE-8623-9C91080903AB}">
  <ds:schemaRefs>
    <ds:schemaRef ds:uri="http://schemas.openxmlformats.org/package/2006/metadata/core-properties"/>
    <ds:schemaRef ds:uri="http://purl.org/dc/dcmitype/"/>
    <ds:schemaRef ds:uri="c4de444a-2853-4fb5-bc6e-24d479ac7bcd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4695843-FF7F-4F3B-B470-39E2904556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Zpráva PPSŘ 24-25</vt:lpstr>
      <vt:lpstr>Dílčí zpráva projekt 7-Mobility</vt:lpstr>
      <vt:lpstr>DATA ZDROJ Indikatory</vt:lpstr>
      <vt:lpstr>DATA ZDROJ</vt:lpstr>
      <vt:lpstr>DATA ZDROJ čerpání 2024</vt:lpstr>
      <vt:lpstr>DATA ZDROJ MOB</vt:lpstr>
      <vt:lpstr>'DATA ZDROJ'!Oblast_tisku</vt:lpstr>
      <vt:lpstr>'DATA ZDROJ čerpání 2024'!Oblast_tisku</vt:lpstr>
      <vt:lpstr>'Dílčí zpráva projekt 7-Mobility'!Oblast_tisku</vt:lpstr>
      <vt:lpstr>'Zpráva PPSŘ 24-25'!Oblast_tisku</vt:lpstr>
    </vt:vector>
  </TitlesOfParts>
  <Company>JČU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Tomáš Lysenko-Chvíla</dc:creator>
  <cp:lastModifiedBy>Smítalová Lenka Ing.</cp:lastModifiedBy>
  <cp:lastPrinted>2025-11-21T12:40:07Z</cp:lastPrinted>
  <dcterms:created xsi:type="dcterms:W3CDTF">2010-12-20T10:32:29Z</dcterms:created>
  <dcterms:modified xsi:type="dcterms:W3CDTF">2025-12-15T15:28:21Z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0x0101005E4B0757F7999542B25D2087F2A13603</vt:lpwstr>
  </property>
</Properties>
</file>